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DieseArbeitsmappe"/>
  <mc:AlternateContent xmlns:mc="http://schemas.openxmlformats.org/markup-compatibility/2006">
    <mc:Choice Requires="x15">
      <x15ac:absPath xmlns:x15ac="http://schemas.microsoft.com/office/spreadsheetml/2010/11/ac" url="https://d.docs.live.net/d90350667bbc6ac6/Dokumente/001 BVPS/003 Homepage/Neue Homepage/"/>
    </mc:Choice>
  </mc:AlternateContent>
  <xr:revisionPtr revIDLastSave="1" documentId="8_{AAE2CC64-1D9B-4403-86D2-7829388F77C3}" xr6:coauthVersionLast="47" xr6:coauthVersionMax="47" xr10:uidLastSave="{611A32BD-413B-486E-9235-F0A811E6E355}"/>
  <bookViews>
    <workbookView xWindow="-110" yWindow="-110" windowWidth="25820" windowHeight="15500" tabRatio="848" firstSheet="1" activeTab="4" xr2:uid="{00000000-000D-0000-FFFF-FFFF00000000}"/>
  </bookViews>
  <sheets>
    <sheet name="Bedienung" sheetId="35" r:id="rId1"/>
    <sheet name="FAQ" sheetId="37" r:id="rId2"/>
    <sheet name="Grunddaten" sheetId="28" r:id="rId3"/>
    <sheet name="AZ-Modell" sheetId="31" r:id="rId4"/>
    <sheet name="Januar" sheetId="15" r:id="rId5"/>
    <sheet name="Februar" sheetId="16" r:id="rId6"/>
    <sheet name="März" sheetId="17" r:id="rId7"/>
    <sheet name="April" sheetId="18" r:id="rId8"/>
    <sheet name="Mai" sheetId="19" r:id="rId9"/>
    <sheet name="Juni" sheetId="20" r:id="rId10"/>
    <sheet name="Juli" sheetId="21" r:id="rId11"/>
    <sheet name="August" sheetId="22" r:id="rId12"/>
    <sheet name="September" sheetId="23" r:id="rId13"/>
    <sheet name="Oktober" sheetId="24" r:id="rId14"/>
    <sheet name="November" sheetId="25" r:id="rId15"/>
    <sheet name="Dezember" sheetId="26" r:id="rId16"/>
    <sheet name="EFLB-Statistik" sheetId="36" state="hidden" r:id="rId17"/>
    <sheet name="Umrechnung" sheetId="32" r:id="rId18"/>
  </sheets>
  <externalReferences>
    <externalReference r:id="rId19"/>
  </externalReferences>
  <definedNames>
    <definedName name="bemerkung" localSheetId="16">Grunddaten!#REF!</definedName>
    <definedName name="bemerkung" localSheetId="17">[1]Grunddaten!#REF!</definedName>
    <definedName name="bemerkung">Grunddaten!#REF!</definedName>
    <definedName name="df">[1]Grunddaten!#REF!</definedName>
    <definedName name="_xlnm.Print_Area" localSheetId="0">Bedienung!$A$1:$A$269</definedName>
    <definedName name="gesP1" localSheetId="16">#REF!</definedName>
    <definedName name="gesP1" localSheetId="17">#REF!</definedName>
    <definedName name="gesP1">#REF!</definedName>
    <definedName name="gesP2" localSheetId="16">#REF!</definedName>
    <definedName name="gesP2" localSheetId="17">#REF!</definedName>
    <definedName name="gesP2">#REF!</definedName>
    <definedName name="gesZ1" localSheetId="16">#REF!</definedName>
    <definedName name="gesZ1" localSheetId="17">#REF!</definedName>
    <definedName name="gesZ1">#REF!</definedName>
    <definedName name="gesZ2" localSheetId="16">#REF!</definedName>
    <definedName name="gesZ2" localSheetId="17">#REF!</definedName>
    <definedName name="gesZ2">#REF!</definedName>
    <definedName name="jahr_1" localSheetId="16">#REF!</definedName>
    <definedName name="jahr_1" localSheetId="17">#REF!</definedName>
    <definedName name="jahr_1">#REF!</definedName>
    <definedName name="jahr_2" localSheetId="16">#REF!</definedName>
    <definedName name="jahr_2" localSheetId="17">#REF!</definedName>
    <definedName name="jahr_2">#REF!</definedName>
    <definedName name="Minus" localSheetId="16">#REF!</definedName>
    <definedName name="Minus" localSheetId="17">#REF!</definedName>
    <definedName name="Minus">#REF!</definedName>
    <definedName name="Pause" localSheetId="16">#REF!</definedName>
    <definedName name="Pause" localSheetId="17">#REF!</definedName>
    <definedName name="Pause">#REF!</definedName>
    <definedName name="Plus" localSheetId="16">#REF!</definedName>
    <definedName name="Plus" localSheetId="17">#REF!</definedName>
    <definedName name="Plus">#REF!</definedName>
    <definedName name="Regel" localSheetId="16">#REF!</definedName>
    <definedName name="Regel" localSheetId="17">#REF!</definedName>
    <definedName name="Regel">#REF!</definedName>
    <definedName name="sonstiges" localSheetId="16">#REF!</definedName>
    <definedName name="sonstiges" localSheetId="17">#REF!</definedName>
    <definedName name="sonstiges">#REF!</definedName>
    <definedName name="ÜZ" localSheetId="16">#REF!</definedName>
    <definedName name="ÜZ" localSheetId="17">#REF!</definedName>
    <definedName name="Ü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5" l="1"/>
  <c r="G6" i="24" l="1"/>
  <c r="G6" i="25"/>
  <c r="G6" i="26"/>
  <c r="G6" i="23"/>
  <c r="V10" i="16" l="1"/>
  <c r="V11" i="16"/>
  <c r="V12" i="16"/>
  <c r="V13" i="16"/>
  <c r="V14" i="16"/>
  <c r="V15" i="16"/>
  <c r="V16" i="16"/>
  <c r="V17" i="16"/>
  <c r="V18" i="16"/>
  <c r="V19" i="16"/>
  <c r="V20" i="16"/>
  <c r="V21" i="16"/>
  <c r="V22" i="16"/>
  <c r="V23" i="16"/>
  <c r="V24" i="16"/>
  <c r="V25" i="16"/>
  <c r="V26" i="16"/>
  <c r="V27" i="16"/>
  <c r="V28" i="16"/>
  <c r="V29" i="16"/>
  <c r="V30" i="16"/>
  <c r="V31" i="16"/>
  <c r="V32" i="16"/>
  <c r="V33" i="16"/>
  <c r="V34" i="16"/>
  <c r="V35" i="16"/>
  <c r="V36" i="16"/>
  <c r="V37" i="16"/>
  <c r="V38" i="16"/>
  <c r="V39" i="16"/>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10" i="18"/>
  <c r="V11" i="18"/>
  <c r="V12" i="18"/>
  <c r="V13" i="18"/>
  <c r="V14" i="18"/>
  <c r="V15" i="18"/>
  <c r="V16" i="18"/>
  <c r="V17" i="18"/>
  <c r="V18" i="18"/>
  <c r="V19" i="18"/>
  <c r="V20" i="18"/>
  <c r="V21" i="18"/>
  <c r="V22" i="18"/>
  <c r="V23" i="18"/>
  <c r="V24" i="18"/>
  <c r="V25" i="18"/>
  <c r="V26" i="18"/>
  <c r="V27" i="18"/>
  <c r="V28" i="18"/>
  <c r="V29" i="18"/>
  <c r="V30" i="18"/>
  <c r="V31" i="18"/>
  <c r="V32" i="18"/>
  <c r="V33" i="18"/>
  <c r="V34" i="18"/>
  <c r="V35" i="18"/>
  <c r="V36" i="18"/>
  <c r="V37" i="18"/>
  <c r="V38" i="18"/>
  <c r="V39" i="18"/>
  <c r="V10" i="19"/>
  <c r="V11" i="19"/>
  <c r="V12" i="19"/>
  <c r="V13" i="19"/>
  <c r="V14" i="19"/>
  <c r="V15" i="19"/>
  <c r="V16" i="19"/>
  <c r="V17" i="19"/>
  <c r="V18" i="19"/>
  <c r="V19" i="19"/>
  <c r="V20" i="19"/>
  <c r="V21" i="19"/>
  <c r="V22" i="19"/>
  <c r="V23" i="19"/>
  <c r="V24" i="19"/>
  <c r="V25" i="19"/>
  <c r="V26" i="19"/>
  <c r="V27" i="19"/>
  <c r="V28" i="19"/>
  <c r="V29" i="19"/>
  <c r="V30" i="19"/>
  <c r="V31" i="19"/>
  <c r="V32" i="19"/>
  <c r="V33" i="19"/>
  <c r="V34" i="19"/>
  <c r="V35" i="19"/>
  <c r="V36" i="19"/>
  <c r="V37" i="19"/>
  <c r="V38" i="19"/>
  <c r="V39" i="19"/>
  <c r="V10" i="20"/>
  <c r="V11" i="20"/>
  <c r="V12" i="20"/>
  <c r="V13" i="20"/>
  <c r="V14" i="20"/>
  <c r="V15" i="20"/>
  <c r="V16" i="20"/>
  <c r="V17" i="20"/>
  <c r="V18" i="20"/>
  <c r="V19" i="20"/>
  <c r="V20" i="20"/>
  <c r="V21" i="20"/>
  <c r="V22" i="20"/>
  <c r="V23" i="20"/>
  <c r="V24" i="20"/>
  <c r="V25" i="20"/>
  <c r="V26" i="20"/>
  <c r="V27" i="20"/>
  <c r="V28" i="20"/>
  <c r="V29" i="20"/>
  <c r="V30" i="20"/>
  <c r="V31" i="20"/>
  <c r="V32" i="20"/>
  <c r="V33" i="20"/>
  <c r="V34" i="20"/>
  <c r="V35" i="20"/>
  <c r="V36" i="20"/>
  <c r="V37" i="20"/>
  <c r="V38" i="20"/>
  <c r="V39" i="20"/>
  <c r="V10" i="21"/>
  <c r="V11" i="21"/>
  <c r="V12" i="21"/>
  <c r="V13" i="21"/>
  <c r="V14" i="21"/>
  <c r="V15" i="21"/>
  <c r="V16" i="21"/>
  <c r="V17" i="21"/>
  <c r="V18" i="21"/>
  <c r="V19" i="21"/>
  <c r="V20" i="21"/>
  <c r="V21" i="21"/>
  <c r="V22" i="21"/>
  <c r="V23" i="21"/>
  <c r="V24" i="21"/>
  <c r="V25" i="21"/>
  <c r="V26" i="21"/>
  <c r="V27" i="21"/>
  <c r="V28" i="21"/>
  <c r="V29" i="21"/>
  <c r="V30" i="21"/>
  <c r="V31" i="21"/>
  <c r="V32" i="21"/>
  <c r="V33" i="21"/>
  <c r="V34" i="21"/>
  <c r="V35" i="21"/>
  <c r="V36" i="21"/>
  <c r="V37" i="21"/>
  <c r="V38" i="21"/>
  <c r="V39" i="21"/>
  <c r="V10" i="22"/>
  <c r="V11" i="22"/>
  <c r="V12" i="22"/>
  <c r="V13" i="22"/>
  <c r="V14" i="22"/>
  <c r="V15" i="22"/>
  <c r="V16" i="22"/>
  <c r="V17" i="22"/>
  <c r="V18" i="22"/>
  <c r="V19" i="22"/>
  <c r="V20" i="22"/>
  <c r="V21" i="22"/>
  <c r="V22" i="22"/>
  <c r="V23" i="22"/>
  <c r="V24" i="22"/>
  <c r="V25" i="22"/>
  <c r="V26" i="22"/>
  <c r="V27" i="22"/>
  <c r="V28" i="22"/>
  <c r="V29" i="22"/>
  <c r="V30" i="22"/>
  <c r="V31" i="22"/>
  <c r="V32" i="22"/>
  <c r="V33" i="22"/>
  <c r="V34" i="22"/>
  <c r="V35" i="22"/>
  <c r="V36" i="22"/>
  <c r="V37" i="22"/>
  <c r="V38" i="22"/>
  <c r="V39" i="22"/>
  <c r="V10" i="23"/>
  <c r="V11" i="23"/>
  <c r="V12" i="23"/>
  <c r="V13" i="23"/>
  <c r="V14" i="23"/>
  <c r="V15" i="23"/>
  <c r="V16" i="23"/>
  <c r="V17" i="23"/>
  <c r="V18" i="23"/>
  <c r="V19" i="23"/>
  <c r="V20" i="23"/>
  <c r="V21" i="23"/>
  <c r="V22" i="23"/>
  <c r="V23" i="23"/>
  <c r="V24" i="23"/>
  <c r="V25" i="23"/>
  <c r="V26" i="23"/>
  <c r="V27" i="23"/>
  <c r="V28" i="23"/>
  <c r="V29" i="23"/>
  <c r="V30" i="23"/>
  <c r="V31" i="23"/>
  <c r="V32" i="23"/>
  <c r="V33" i="23"/>
  <c r="V34" i="23"/>
  <c r="V35" i="23"/>
  <c r="V36" i="23"/>
  <c r="V37" i="23"/>
  <c r="V38" i="23"/>
  <c r="V39" i="23"/>
  <c r="V10" i="24"/>
  <c r="V11" i="24"/>
  <c r="V12" i="24"/>
  <c r="V13" i="24"/>
  <c r="V14" i="24"/>
  <c r="V15" i="24"/>
  <c r="V16" i="24"/>
  <c r="V17" i="24"/>
  <c r="V18" i="24"/>
  <c r="V19" i="24"/>
  <c r="V20" i="24"/>
  <c r="V21" i="24"/>
  <c r="V22" i="24"/>
  <c r="V23" i="24"/>
  <c r="V24" i="24"/>
  <c r="V25" i="24"/>
  <c r="V26" i="24"/>
  <c r="V27" i="24"/>
  <c r="V28" i="24"/>
  <c r="V29" i="24"/>
  <c r="V30" i="24"/>
  <c r="V31" i="24"/>
  <c r="V32" i="24"/>
  <c r="V33" i="24"/>
  <c r="V34" i="24"/>
  <c r="V35" i="24"/>
  <c r="V36" i="24"/>
  <c r="V37" i="24"/>
  <c r="V38" i="24"/>
  <c r="V39" i="24"/>
  <c r="V10" i="25"/>
  <c r="V11" i="25"/>
  <c r="V12" i="25"/>
  <c r="V13" i="25"/>
  <c r="V14" i="25"/>
  <c r="V15" i="25"/>
  <c r="V16" i="25"/>
  <c r="V17" i="25"/>
  <c r="V18" i="25"/>
  <c r="V19" i="25"/>
  <c r="V20" i="25"/>
  <c r="V21" i="25"/>
  <c r="V22" i="25"/>
  <c r="V23" i="25"/>
  <c r="V24" i="25"/>
  <c r="V25" i="25"/>
  <c r="V26" i="25"/>
  <c r="V27" i="25"/>
  <c r="V28" i="25"/>
  <c r="V29" i="25"/>
  <c r="V30" i="25"/>
  <c r="V31" i="25"/>
  <c r="V32" i="25"/>
  <c r="V33" i="25"/>
  <c r="V34" i="25"/>
  <c r="V35" i="25"/>
  <c r="V36" i="25"/>
  <c r="V37" i="25"/>
  <c r="V38" i="25"/>
  <c r="V39" i="25"/>
  <c r="V10" i="26"/>
  <c r="V11" i="26"/>
  <c r="V12" i="26"/>
  <c r="V13" i="26"/>
  <c r="V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10" i="15"/>
  <c r="V11" i="15"/>
  <c r="V12" i="15"/>
  <c r="V13" i="15"/>
  <c r="V14" i="15"/>
  <c r="V15" i="15"/>
  <c r="V16" i="15"/>
  <c r="V17" i="15"/>
  <c r="V18" i="15"/>
  <c r="V19" i="15"/>
  <c r="V20" i="15"/>
  <c r="V21" i="15"/>
  <c r="V22" i="15"/>
  <c r="V23" i="15"/>
  <c r="V24" i="15"/>
  <c r="V25" i="15"/>
  <c r="V26" i="15"/>
  <c r="V27" i="15"/>
  <c r="V28" i="15"/>
  <c r="V29" i="15"/>
  <c r="V30" i="15"/>
  <c r="V31" i="15"/>
  <c r="V32" i="15"/>
  <c r="V33" i="15"/>
  <c r="V34" i="15"/>
  <c r="V35" i="15"/>
  <c r="V36" i="15"/>
  <c r="V37" i="15"/>
  <c r="V38" i="15"/>
  <c r="V39" i="15"/>
  <c r="V9" i="17"/>
  <c r="V9" i="18"/>
  <c r="V9" i="19"/>
  <c r="V9" i="20"/>
  <c r="V9" i="21"/>
  <c r="V9" i="22"/>
  <c r="V9" i="23"/>
  <c r="V9" i="24"/>
  <c r="V9" i="25"/>
  <c r="V9" i="26"/>
  <c r="V9" i="16"/>
  <c r="V9" i="15"/>
  <c r="G6" i="16" l="1"/>
  <c r="G6" i="17"/>
  <c r="G6" i="18"/>
  <c r="G6" i="19"/>
  <c r="G6" i="20"/>
  <c r="G6" i="21"/>
  <c r="G6" i="22"/>
  <c r="G6" i="15"/>
  <c r="AL42" i="26" l="1"/>
  <c r="AL42" i="25"/>
  <c r="AL42" i="24"/>
  <c r="AL42" i="23"/>
  <c r="AL42" i="22"/>
  <c r="AL42" i="21"/>
  <c r="AL42" i="20"/>
  <c r="AL42" i="19"/>
  <c r="AL42" i="18"/>
  <c r="AL42" i="17"/>
  <c r="AL42" i="16"/>
  <c r="AL42" i="15"/>
  <c r="AF16" i="36" l="1"/>
  <c r="D17" i="31" l="1"/>
  <c r="E17" i="31" s="1"/>
  <c r="F17" i="31" s="1"/>
  <c r="G17" i="31" s="1"/>
  <c r="H17" i="31" s="1"/>
  <c r="V40" i="26"/>
  <c r="AH40" i="20"/>
  <c r="X40" i="20"/>
  <c r="AH40" i="21"/>
  <c r="X40" i="21"/>
  <c r="AH40" i="22"/>
  <c r="X40" i="22"/>
  <c r="AH40" i="23"/>
  <c r="X40" i="23"/>
  <c r="AH40" i="24"/>
  <c r="X40" i="24"/>
  <c r="AH40" i="25"/>
  <c r="X40" i="25"/>
  <c r="AH40" i="26"/>
  <c r="X40" i="26"/>
  <c r="AH40" i="19"/>
  <c r="X40" i="19"/>
  <c r="AH40" i="18"/>
  <c r="X40" i="18"/>
  <c r="C19" i="31" l="1"/>
  <c r="D18" i="31"/>
  <c r="E18" i="31" s="1"/>
  <c r="F18" i="31" s="1"/>
  <c r="G18" i="31" s="1"/>
  <c r="H18" i="31" s="1"/>
  <c r="I17" i="31"/>
  <c r="V40" i="25"/>
  <c r="V40" i="21"/>
  <c r="V40" i="22"/>
  <c r="V40" i="19"/>
  <c r="V40" i="24"/>
  <c r="V40" i="23"/>
  <c r="V40" i="20"/>
  <c r="V40" i="18"/>
  <c r="D20" i="31" l="1"/>
  <c r="E20" i="31" s="1"/>
  <c r="F20" i="31" s="1"/>
  <c r="G20" i="31" s="1"/>
  <c r="H20" i="31" s="1"/>
  <c r="I20" i="31" s="1"/>
  <c r="J20" i="31" s="1"/>
  <c r="K20" i="31" s="1"/>
  <c r="D19" i="31"/>
  <c r="E19" i="31" s="1"/>
  <c r="F19" i="31" s="1"/>
  <c r="G19" i="31" s="1"/>
  <c r="H19" i="31" s="1"/>
  <c r="I19" i="31" s="1"/>
  <c r="J19" i="31" s="1"/>
  <c r="J17" i="31"/>
  <c r="I18" i="31"/>
  <c r="X40" i="15"/>
  <c r="K17" i="31" l="1"/>
  <c r="L20" i="31"/>
  <c r="K19" i="31"/>
  <c r="J18" i="31"/>
  <c r="C9" i="26"/>
  <c r="C9" i="25"/>
  <c r="C9" i="24"/>
  <c r="C9" i="23"/>
  <c r="C9" i="22"/>
  <c r="C9" i="21"/>
  <c r="C9" i="20"/>
  <c r="C9" i="19"/>
  <c r="C9" i="18"/>
  <c r="C9" i="17"/>
  <c r="C9" i="16"/>
  <c r="C10" i="17" l="1"/>
  <c r="A9" i="21"/>
  <c r="C10" i="25"/>
  <c r="K18" i="31"/>
  <c r="L17" i="31"/>
  <c r="L19" i="31"/>
  <c r="M20" i="31"/>
  <c r="A9" i="25"/>
  <c r="C10" i="21"/>
  <c r="B9" i="17"/>
  <c r="C10" i="19"/>
  <c r="C10" i="20"/>
  <c r="A9" i="19"/>
  <c r="A9" i="20"/>
  <c r="B9" i="26"/>
  <c r="C10" i="26"/>
  <c r="A9" i="26"/>
  <c r="B9" i="25"/>
  <c r="A9" i="24"/>
  <c r="C10" i="24"/>
  <c r="B9" i="24"/>
  <c r="A9" i="23"/>
  <c r="C10" i="23"/>
  <c r="B9" i="23"/>
  <c r="A9" i="22"/>
  <c r="C10" i="22"/>
  <c r="B9" i="22"/>
  <c r="B9" i="21"/>
  <c r="B9" i="20"/>
  <c r="B9" i="19"/>
  <c r="A9" i="18"/>
  <c r="C10" i="18"/>
  <c r="B9" i="18"/>
  <c r="A9" i="17"/>
  <c r="A9" i="16"/>
  <c r="C10" i="16"/>
  <c r="B9" i="16"/>
  <c r="A10" i="25" l="1"/>
  <c r="A10" i="21"/>
  <c r="C11" i="20"/>
  <c r="C11" i="19"/>
  <c r="C12" i="19" s="1"/>
  <c r="B10" i="17"/>
  <c r="B10" i="21"/>
  <c r="C11" i="17"/>
  <c r="C12" i="17" s="1"/>
  <c r="B10" i="25"/>
  <c r="C11" i="25"/>
  <c r="A11" i="25" s="1"/>
  <c r="A10" i="20"/>
  <c r="A10" i="17"/>
  <c r="B10" i="20"/>
  <c r="C11" i="21"/>
  <c r="C12" i="21" s="1"/>
  <c r="A10" i="19"/>
  <c r="B10" i="19"/>
  <c r="M17" i="31"/>
  <c r="L18" i="31"/>
  <c r="N20" i="31"/>
  <c r="M19" i="31"/>
  <c r="B10" i="26"/>
  <c r="A10" i="26"/>
  <c r="C11" i="26"/>
  <c r="B10" i="24"/>
  <c r="A10" i="24"/>
  <c r="C11" i="24"/>
  <c r="B10" i="23"/>
  <c r="C11" i="23"/>
  <c r="A10" i="23"/>
  <c r="C11" i="22"/>
  <c r="A10" i="22"/>
  <c r="B10" i="22"/>
  <c r="A11" i="20"/>
  <c r="B11" i="20"/>
  <c r="C12" i="20"/>
  <c r="C11" i="18"/>
  <c r="A10" i="18"/>
  <c r="B10" i="18"/>
  <c r="C11" i="16"/>
  <c r="A10" i="16"/>
  <c r="B10" i="16"/>
  <c r="A11" i="19" l="1"/>
  <c r="B11" i="19"/>
  <c r="B11" i="25"/>
  <c r="C12" i="25"/>
  <c r="A11" i="17"/>
  <c r="B11" i="17"/>
  <c r="B11" i="21"/>
  <c r="A11" i="21"/>
  <c r="N17" i="31"/>
  <c r="M18" i="31"/>
  <c r="N19" i="31"/>
  <c r="B11" i="26"/>
  <c r="C12" i="26"/>
  <c r="A11" i="26"/>
  <c r="B11" i="24"/>
  <c r="C12" i="24"/>
  <c r="A11" i="24"/>
  <c r="B11" i="23"/>
  <c r="C12" i="23"/>
  <c r="A11" i="23"/>
  <c r="B11" i="22"/>
  <c r="C12" i="22"/>
  <c r="A11" i="22"/>
  <c r="C13" i="21"/>
  <c r="B12" i="21"/>
  <c r="A12" i="21"/>
  <c r="B12" i="20"/>
  <c r="C13" i="20"/>
  <c r="A12" i="20"/>
  <c r="B12" i="19"/>
  <c r="A12" i="19"/>
  <c r="C13" i="19"/>
  <c r="C12" i="18"/>
  <c r="B11" i="18"/>
  <c r="A11" i="18"/>
  <c r="B12" i="17"/>
  <c r="C13" i="17"/>
  <c r="A12" i="17"/>
  <c r="B11" i="16"/>
  <c r="C12" i="16"/>
  <c r="A11" i="16"/>
  <c r="B12" i="25" l="1"/>
  <c r="C13" i="25"/>
  <c r="A12" i="25"/>
  <c r="N18" i="31"/>
  <c r="B12" i="26"/>
  <c r="C13" i="26"/>
  <c r="A12" i="26"/>
  <c r="B12" i="24"/>
  <c r="C13" i="24"/>
  <c r="A12" i="24"/>
  <c r="B12" i="23"/>
  <c r="C13" i="23"/>
  <c r="A12" i="23"/>
  <c r="B12" i="22"/>
  <c r="C13" i="22"/>
  <c r="A12" i="22"/>
  <c r="C14" i="21"/>
  <c r="A13" i="21"/>
  <c r="B13" i="21"/>
  <c r="C14" i="20"/>
  <c r="A13" i="20"/>
  <c r="B13" i="20"/>
  <c r="C14" i="19"/>
  <c r="A13" i="19"/>
  <c r="B13" i="19"/>
  <c r="C13" i="18"/>
  <c r="A12" i="18"/>
  <c r="B12" i="18"/>
  <c r="C14" i="17"/>
  <c r="A13" i="17"/>
  <c r="B13" i="17"/>
  <c r="C13" i="16"/>
  <c r="A12" i="16"/>
  <c r="B12" i="16"/>
  <c r="A13" i="25" l="1"/>
  <c r="C14" i="25"/>
  <c r="B13" i="25"/>
  <c r="C14" i="26"/>
  <c r="B13" i="26"/>
  <c r="A13" i="26"/>
  <c r="B13" i="24"/>
  <c r="C14" i="24"/>
  <c r="A13" i="24"/>
  <c r="B13" i="23"/>
  <c r="C14" i="23"/>
  <c r="A13" i="23"/>
  <c r="C14" i="22"/>
  <c r="B13" i="22"/>
  <c r="A13" i="22"/>
  <c r="B14" i="21"/>
  <c r="A14" i="21"/>
  <c r="C15" i="21"/>
  <c r="B14" i="20"/>
  <c r="C15" i="20"/>
  <c r="A14" i="20"/>
  <c r="B14" i="19"/>
  <c r="A14" i="19"/>
  <c r="C15" i="19"/>
  <c r="B13" i="18"/>
  <c r="A13" i="18"/>
  <c r="C14" i="18"/>
  <c r="C15" i="17"/>
  <c r="A14" i="17"/>
  <c r="B14" i="17"/>
  <c r="B13" i="16"/>
  <c r="C14" i="16"/>
  <c r="A13" i="16"/>
  <c r="C15" i="25" l="1"/>
  <c r="A15" i="25" s="1"/>
  <c r="B14" i="25"/>
  <c r="A14" i="25"/>
  <c r="C15" i="26"/>
  <c r="A14" i="26"/>
  <c r="B14" i="26"/>
  <c r="C15" i="24"/>
  <c r="B14" i="24"/>
  <c r="A14" i="24"/>
  <c r="B14" i="23"/>
  <c r="C15" i="23"/>
  <c r="A14" i="23"/>
  <c r="C15" i="22"/>
  <c r="A14" i="22"/>
  <c r="B14" i="22"/>
  <c r="C16" i="21"/>
  <c r="A15" i="21"/>
  <c r="B15" i="21"/>
  <c r="C16" i="20"/>
  <c r="B15" i="20"/>
  <c r="A15" i="20"/>
  <c r="C16" i="19"/>
  <c r="A15" i="19"/>
  <c r="B15" i="19"/>
  <c r="B14" i="18"/>
  <c r="C15" i="18"/>
  <c r="A14" i="18"/>
  <c r="C16" i="17"/>
  <c r="B15" i="17"/>
  <c r="A15" i="17"/>
  <c r="C15" i="16"/>
  <c r="A14" i="16"/>
  <c r="B14" i="16"/>
  <c r="C16" i="25" l="1"/>
  <c r="B15" i="25"/>
  <c r="C16" i="26"/>
  <c r="A15" i="26"/>
  <c r="B15" i="26"/>
  <c r="B16" i="25"/>
  <c r="A16" i="25"/>
  <c r="A15" i="24"/>
  <c r="C16" i="24"/>
  <c r="B15" i="24"/>
  <c r="B15" i="23"/>
  <c r="C16" i="23"/>
  <c r="A15" i="23"/>
  <c r="C16" i="22"/>
  <c r="A15" i="22"/>
  <c r="B15" i="22"/>
  <c r="A16" i="21"/>
  <c r="C17" i="21"/>
  <c r="B16" i="21"/>
  <c r="B16" i="20"/>
  <c r="A16" i="20"/>
  <c r="C17" i="20"/>
  <c r="B16" i="19"/>
  <c r="C17" i="19"/>
  <c r="A16" i="19"/>
  <c r="B15" i="18"/>
  <c r="C16" i="18"/>
  <c r="A15" i="18"/>
  <c r="B16" i="17"/>
  <c r="C17" i="17"/>
  <c r="A16" i="17"/>
  <c r="C16" i="16"/>
  <c r="B15" i="16"/>
  <c r="A15" i="16"/>
  <c r="C17" i="25" l="1"/>
  <c r="C17" i="26"/>
  <c r="A16" i="26"/>
  <c r="B16" i="26"/>
  <c r="B17" i="25"/>
  <c r="C18" i="25"/>
  <c r="C17" i="24"/>
  <c r="A16" i="24"/>
  <c r="B16" i="24"/>
  <c r="B16" i="23"/>
  <c r="A16" i="23"/>
  <c r="C17" i="23"/>
  <c r="C17" i="22"/>
  <c r="A16" i="22"/>
  <c r="B16" i="22"/>
  <c r="C18" i="21"/>
  <c r="A17" i="21"/>
  <c r="B17" i="21"/>
  <c r="B17" i="20"/>
  <c r="C18" i="20"/>
  <c r="A17" i="20"/>
  <c r="B17" i="19"/>
  <c r="C18" i="19"/>
  <c r="A17" i="19"/>
  <c r="B16" i="18"/>
  <c r="C17" i="18"/>
  <c r="A16" i="18"/>
  <c r="B17" i="17"/>
  <c r="A17" i="17"/>
  <c r="C18" i="17"/>
  <c r="C17" i="16"/>
  <c r="A16" i="16"/>
  <c r="B16" i="16"/>
  <c r="A17" i="25" l="1"/>
  <c r="C18" i="26"/>
  <c r="A17" i="26"/>
  <c r="B17" i="26"/>
  <c r="B18" i="25"/>
  <c r="C19" i="25"/>
  <c r="A18" i="25"/>
  <c r="B17" i="24"/>
  <c r="A17" i="24"/>
  <c r="C18" i="24"/>
  <c r="B17" i="23"/>
  <c r="C18" i="23"/>
  <c r="A17" i="23"/>
  <c r="C18" i="22"/>
  <c r="A17" i="22"/>
  <c r="B17" i="22"/>
  <c r="C19" i="21"/>
  <c r="B18" i="21"/>
  <c r="A18" i="21"/>
  <c r="B18" i="20"/>
  <c r="A18" i="20"/>
  <c r="C19" i="20"/>
  <c r="B18" i="19"/>
  <c r="A18" i="19"/>
  <c r="C19" i="19"/>
  <c r="B17" i="18"/>
  <c r="C18" i="18"/>
  <c r="A17" i="18"/>
  <c r="B18" i="17"/>
  <c r="C19" i="17"/>
  <c r="A18" i="17"/>
  <c r="C18" i="16"/>
  <c r="A17" i="16"/>
  <c r="B17" i="16"/>
  <c r="C19" i="26" l="1"/>
  <c r="A18" i="26"/>
  <c r="B18" i="26"/>
  <c r="B19" i="25"/>
  <c r="A19" i="25"/>
  <c r="C20" i="25"/>
  <c r="C19" i="24"/>
  <c r="A18" i="24"/>
  <c r="B18" i="24"/>
  <c r="B18" i="23"/>
  <c r="C19" i="23"/>
  <c r="A18" i="23"/>
  <c r="C19" i="22"/>
  <c r="A18" i="22"/>
  <c r="B18" i="22"/>
  <c r="C20" i="21"/>
  <c r="A19" i="21"/>
  <c r="B19" i="21"/>
  <c r="B19" i="20"/>
  <c r="C20" i="20"/>
  <c r="A19" i="20"/>
  <c r="B19" i="19"/>
  <c r="C20" i="19"/>
  <c r="A19" i="19"/>
  <c r="B18" i="18"/>
  <c r="C19" i="18"/>
  <c r="A18" i="18"/>
  <c r="B19" i="17"/>
  <c r="A19" i="17"/>
  <c r="C20" i="17"/>
  <c r="B18" i="16"/>
  <c r="C19" i="16"/>
  <c r="A18" i="16"/>
  <c r="C20" i="26" l="1"/>
  <c r="A19" i="26"/>
  <c r="B19" i="26"/>
  <c r="B20" i="25"/>
  <c r="C21" i="25"/>
  <c r="A20" i="25"/>
  <c r="B19" i="24"/>
  <c r="C20" i="24"/>
  <c r="A19" i="24"/>
  <c r="B19" i="23"/>
  <c r="C20" i="23"/>
  <c r="A19" i="23"/>
  <c r="B19" i="22"/>
  <c r="C20" i="22"/>
  <c r="A19" i="22"/>
  <c r="C21" i="21"/>
  <c r="B20" i="21"/>
  <c r="A20" i="21"/>
  <c r="B20" i="20"/>
  <c r="A20" i="20"/>
  <c r="C21" i="20"/>
  <c r="B20" i="19"/>
  <c r="A20" i="19"/>
  <c r="C21" i="19"/>
  <c r="B19" i="18"/>
  <c r="A19" i="18"/>
  <c r="C20" i="18"/>
  <c r="B20" i="17"/>
  <c r="C21" i="17"/>
  <c r="A20" i="17"/>
  <c r="C20" i="16"/>
  <c r="A19" i="16"/>
  <c r="B19" i="16"/>
  <c r="B20" i="26" l="1"/>
  <c r="C21" i="26"/>
  <c r="A20" i="26"/>
  <c r="B21" i="25"/>
  <c r="C22" i="25"/>
  <c r="A21" i="25"/>
  <c r="C21" i="24"/>
  <c r="A20" i="24"/>
  <c r="B20" i="24"/>
  <c r="B20" i="23"/>
  <c r="C21" i="23"/>
  <c r="A20" i="23"/>
  <c r="C21" i="22"/>
  <c r="A20" i="22"/>
  <c r="B20" i="22"/>
  <c r="C22" i="21"/>
  <c r="A21" i="21"/>
  <c r="B21" i="21"/>
  <c r="B21" i="20"/>
  <c r="C22" i="20"/>
  <c r="A21" i="20"/>
  <c r="B21" i="19"/>
  <c r="C22" i="19"/>
  <c r="A21" i="19"/>
  <c r="B20" i="18"/>
  <c r="C21" i="18"/>
  <c r="A20" i="18"/>
  <c r="B21" i="17"/>
  <c r="A21" i="17"/>
  <c r="C22" i="17"/>
  <c r="B20" i="16"/>
  <c r="C21" i="16"/>
  <c r="A20" i="16"/>
  <c r="C22" i="26" l="1"/>
  <c r="A21" i="26"/>
  <c r="B21" i="26"/>
  <c r="B22" i="25"/>
  <c r="C23" i="25"/>
  <c r="A22" i="25"/>
  <c r="B21" i="24"/>
  <c r="A21" i="24"/>
  <c r="C22" i="24"/>
  <c r="B21" i="23"/>
  <c r="C22" i="23"/>
  <c r="A21" i="23"/>
  <c r="B21" i="22"/>
  <c r="C22" i="22"/>
  <c r="A21" i="22"/>
  <c r="B22" i="21"/>
  <c r="A22" i="21"/>
  <c r="C23" i="21"/>
  <c r="B22" i="20"/>
  <c r="C23" i="20"/>
  <c r="A22" i="20"/>
  <c r="B22" i="19"/>
  <c r="A22" i="19"/>
  <c r="C23" i="19"/>
  <c r="B21" i="18"/>
  <c r="A21" i="18"/>
  <c r="C22" i="18"/>
  <c r="B22" i="17"/>
  <c r="C23" i="17"/>
  <c r="A22" i="17"/>
  <c r="C22" i="16"/>
  <c r="A21" i="16"/>
  <c r="B21" i="16"/>
  <c r="B22" i="26" l="1"/>
  <c r="C23" i="26"/>
  <c r="A22" i="26"/>
  <c r="B23" i="25"/>
  <c r="A23" i="25"/>
  <c r="C24" i="25"/>
  <c r="C23" i="24"/>
  <c r="A22" i="24"/>
  <c r="B22" i="24"/>
  <c r="B22" i="23"/>
  <c r="A22" i="23"/>
  <c r="C23" i="23"/>
  <c r="C23" i="22"/>
  <c r="A22" i="22"/>
  <c r="B22" i="22"/>
  <c r="A23" i="21"/>
  <c r="B23" i="21"/>
  <c r="C24" i="21"/>
  <c r="B23" i="20"/>
  <c r="C24" i="20"/>
  <c r="A23" i="20"/>
  <c r="B23" i="19"/>
  <c r="C24" i="19"/>
  <c r="A23" i="19"/>
  <c r="B22" i="18"/>
  <c r="C23" i="18"/>
  <c r="A22" i="18"/>
  <c r="B23" i="17"/>
  <c r="C24" i="17"/>
  <c r="A23" i="17"/>
  <c r="B22" i="16"/>
  <c r="C23" i="16"/>
  <c r="A22" i="16"/>
  <c r="C24" i="26" l="1"/>
  <c r="A23" i="26"/>
  <c r="B23" i="26"/>
  <c r="B24" i="25"/>
  <c r="A24" i="25"/>
  <c r="C25" i="25"/>
  <c r="B23" i="24"/>
  <c r="C24" i="24"/>
  <c r="A23" i="24"/>
  <c r="B23" i="23"/>
  <c r="C24" i="23"/>
  <c r="A23" i="23"/>
  <c r="B23" i="22"/>
  <c r="C24" i="22"/>
  <c r="A23" i="22"/>
  <c r="B24" i="21"/>
  <c r="C25" i="21"/>
  <c r="A24" i="21"/>
  <c r="C25" i="20"/>
  <c r="B24" i="20"/>
  <c r="A24" i="20"/>
  <c r="C25" i="19"/>
  <c r="B24" i="19"/>
  <c r="A24" i="19"/>
  <c r="B23" i="18"/>
  <c r="C24" i="18"/>
  <c r="A23" i="18"/>
  <c r="C25" i="17"/>
  <c r="B24" i="17"/>
  <c r="A24" i="17"/>
  <c r="C24" i="16"/>
  <c r="A23" i="16"/>
  <c r="B23" i="16"/>
  <c r="C25" i="26" l="1"/>
  <c r="B24" i="26"/>
  <c r="A24" i="26"/>
  <c r="C26" i="25"/>
  <c r="A25" i="25"/>
  <c r="B25" i="25"/>
  <c r="A24" i="24"/>
  <c r="B24" i="24"/>
  <c r="C25" i="24"/>
  <c r="C25" i="23"/>
  <c r="B24" i="23"/>
  <c r="A24" i="23"/>
  <c r="A24" i="22"/>
  <c r="B24" i="22"/>
  <c r="C25" i="22"/>
  <c r="B25" i="21"/>
  <c r="C26" i="21"/>
  <c r="A25" i="21"/>
  <c r="C26" i="20"/>
  <c r="A25" i="20"/>
  <c r="B25" i="20"/>
  <c r="C26" i="19"/>
  <c r="A25" i="19"/>
  <c r="B25" i="19"/>
  <c r="B24" i="18"/>
  <c r="C25" i="18"/>
  <c r="A24" i="18"/>
  <c r="C26" i="17"/>
  <c r="A25" i="17"/>
  <c r="B25" i="17"/>
  <c r="C25" i="16"/>
  <c r="B24" i="16"/>
  <c r="A24" i="16"/>
  <c r="B25" i="26" l="1"/>
  <c r="C26" i="26"/>
  <c r="A25" i="26"/>
  <c r="B26" i="25"/>
  <c r="C27" i="25"/>
  <c r="A26" i="25"/>
  <c r="C26" i="24"/>
  <c r="A25" i="24"/>
  <c r="B25" i="24"/>
  <c r="C26" i="23"/>
  <c r="A25" i="23"/>
  <c r="B25" i="23"/>
  <c r="C26" i="22"/>
  <c r="A25" i="22"/>
  <c r="B25" i="22"/>
  <c r="B26" i="21"/>
  <c r="A26" i="21"/>
  <c r="C27" i="21"/>
  <c r="C27" i="20"/>
  <c r="B26" i="20"/>
  <c r="A26" i="20"/>
  <c r="C27" i="19"/>
  <c r="B26" i="19"/>
  <c r="A26" i="19"/>
  <c r="C26" i="18"/>
  <c r="A25" i="18"/>
  <c r="B25" i="18"/>
  <c r="B26" i="17"/>
  <c r="A26" i="17"/>
  <c r="C27" i="17"/>
  <c r="C26" i="16"/>
  <c r="A25" i="16"/>
  <c r="B25" i="16"/>
  <c r="B26" i="26" l="1"/>
  <c r="A26" i="26"/>
  <c r="C27" i="26"/>
  <c r="C28" i="25"/>
  <c r="A27" i="25"/>
  <c r="B27" i="25"/>
  <c r="A26" i="24"/>
  <c r="B26" i="24"/>
  <c r="C27" i="24"/>
  <c r="C27" i="23"/>
  <c r="B26" i="23"/>
  <c r="A26" i="23"/>
  <c r="B26" i="22"/>
  <c r="C27" i="22"/>
  <c r="A26" i="22"/>
  <c r="B27" i="21"/>
  <c r="C28" i="21"/>
  <c r="A27" i="21"/>
  <c r="C28" i="20"/>
  <c r="A27" i="20"/>
  <c r="B27" i="20"/>
  <c r="C28" i="19"/>
  <c r="A27" i="19"/>
  <c r="B27" i="19"/>
  <c r="B26" i="18"/>
  <c r="A26" i="18"/>
  <c r="C27" i="18"/>
  <c r="C28" i="17"/>
  <c r="A27" i="17"/>
  <c r="B27" i="17"/>
  <c r="B26" i="16"/>
  <c r="A26" i="16"/>
  <c r="C27" i="16"/>
  <c r="B27" i="26" l="1"/>
  <c r="C28" i="26"/>
  <c r="A27" i="26"/>
  <c r="B28" i="25"/>
  <c r="A28" i="25"/>
  <c r="C29" i="25"/>
  <c r="C28" i="24"/>
  <c r="A27" i="24"/>
  <c r="B27" i="24"/>
  <c r="C28" i="23"/>
  <c r="A27" i="23"/>
  <c r="B27" i="23"/>
  <c r="C28" i="22"/>
  <c r="A27" i="22"/>
  <c r="B27" i="22"/>
  <c r="B28" i="21"/>
  <c r="C29" i="21"/>
  <c r="A28" i="21"/>
  <c r="B28" i="20"/>
  <c r="A28" i="20"/>
  <c r="C29" i="20"/>
  <c r="B28" i="19"/>
  <c r="A28" i="19"/>
  <c r="C29" i="19"/>
  <c r="B27" i="18"/>
  <c r="C28" i="18"/>
  <c r="A27" i="18"/>
  <c r="B28" i="17"/>
  <c r="C29" i="17"/>
  <c r="A28" i="17"/>
  <c r="B27" i="16"/>
  <c r="C28" i="16"/>
  <c r="A27" i="16"/>
  <c r="B28" i="26" l="1"/>
  <c r="A28" i="26"/>
  <c r="C29" i="26"/>
  <c r="B29" i="25"/>
  <c r="C30" i="25"/>
  <c r="A29" i="25"/>
  <c r="B28" i="24"/>
  <c r="A28" i="24"/>
  <c r="C29" i="24"/>
  <c r="B28" i="23"/>
  <c r="A28" i="23"/>
  <c r="C29" i="23"/>
  <c r="B28" i="22"/>
  <c r="A28" i="22"/>
  <c r="C29" i="22"/>
  <c r="B29" i="21"/>
  <c r="C30" i="21"/>
  <c r="A29" i="21"/>
  <c r="C30" i="20"/>
  <c r="A29" i="20"/>
  <c r="B29" i="20"/>
  <c r="B29" i="19"/>
  <c r="C30" i="19"/>
  <c r="A29" i="19"/>
  <c r="B28" i="18"/>
  <c r="A28" i="18"/>
  <c r="C29" i="18"/>
  <c r="C30" i="17"/>
  <c r="A29" i="17"/>
  <c r="B29" i="17"/>
  <c r="B28" i="16"/>
  <c r="A28" i="16"/>
  <c r="C29" i="16"/>
  <c r="B29" i="26" l="1"/>
  <c r="C30" i="26"/>
  <c r="A29" i="26"/>
  <c r="B30" i="25"/>
  <c r="A30" i="25"/>
  <c r="C31" i="25"/>
  <c r="B29" i="24"/>
  <c r="C30" i="24"/>
  <c r="A29" i="24"/>
  <c r="B29" i="23"/>
  <c r="C30" i="23"/>
  <c r="A29" i="23"/>
  <c r="B29" i="22"/>
  <c r="C30" i="22"/>
  <c r="A29" i="22"/>
  <c r="B30" i="21"/>
  <c r="A30" i="21"/>
  <c r="C31" i="21"/>
  <c r="B30" i="20"/>
  <c r="A30" i="20"/>
  <c r="C31" i="20"/>
  <c r="B30" i="19"/>
  <c r="A30" i="19"/>
  <c r="C31" i="19"/>
  <c r="B29" i="18"/>
  <c r="C30" i="18"/>
  <c r="A29" i="18"/>
  <c r="B30" i="17"/>
  <c r="A30" i="17"/>
  <c r="C31" i="17"/>
  <c r="B29" i="16"/>
  <c r="C30" i="16"/>
  <c r="A29" i="16"/>
  <c r="B30" i="26" l="1"/>
  <c r="A30" i="26"/>
  <c r="C31" i="26"/>
  <c r="B31" i="25"/>
  <c r="C32" i="25"/>
  <c r="A31" i="25"/>
  <c r="B30" i="24"/>
  <c r="A30" i="24"/>
  <c r="C31" i="24"/>
  <c r="B30" i="23"/>
  <c r="A30" i="23"/>
  <c r="C31" i="23"/>
  <c r="B30" i="22"/>
  <c r="A30" i="22"/>
  <c r="C31" i="22"/>
  <c r="B31" i="21"/>
  <c r="C32" i="21"/>
  <c r="A31" i="21"/>
  <c r="B31" i="20"/>
  <c r="C32" i="20"/>
  <c r="A31" i="20"/>
  <c r="B31" i="19"/>
  <c r="C32" i="19"/>
  <c r="A31" i="19"/>
  <c r="B30" i="18"/>
  <c r="A30" i="18"/>
  <c r="C31" i="18"/>
  <c r="B31" i="17"/>
  <c r="C32" i="17"/>
  <c r="A31" i="17"/>
  <c r="B30" i="16"/>
  <c r="A30" i="16"/>
  <c r="C31" i="16"/>
  <c r="B31" i="26" l="1"/>
  <c r="C32" i="26"/>
  <c r="A31" i="26"/>
  <c r="B32" i="25"/>
  <c r="C33" i="25"/>
  <c r="A32" i="25"/>
  <c r="B31" i="24"/>
  <c r="C32" i="24"/>
  <c r="A31" i="24"/>
  <c r="B31" i="23"/>
  <c r="C32" i="23"/>
  <c r="A31" i="23"/>
  <c r="B31" i="22"/>
  <c r="C32" i="22"/>
  <c r="A31" i="22"/>
  <c r="B32" i="21"/>
  <c r="C33" i="21"/>
  <c r="A32" i="21"/>
  <c r="B32" i="20"/>
  <c r="C33" i="20"/>
  <c r="A32" i="20"/>
  <c r="B32" i="19"/>
  <c r="C33" i="19"/>
  <c r="A32" i="19"/>
  <c r="B31" i="18"/>
  <c r="C32" i="18"/>
  <c r="A31" i="18"/>
  <c r="B32" i="17"/>
  <c r="C33" i="17"/>
  <c r="A32" i="17"/>
  <c r="B31" i="16"/>
  <c r="C32" i="16"/>
  <c r="A31" i="16"/>
  <c r="B32" i="26" l="1"/>
  <c r="C33" i="26"/>
  <c r="A32" i="26"/>
  <c r="B33" i="25"/>
  <c r="C34" i="25"/>
  <c r="A33" i="25"/>
  <c r="B32" i="24"/>
  <c r="C33" i="24"/>
  <c r="A32" i="24"/>
  <c r="B32" i="23"/>
  <c r="C33" i="23"/>
  <c r="A32" i="23"/>
  <c r="B32" i="22"/>
  <c r="C33" i="22"/>
  <c r="A32" i="22"/>
  <c r="B33" i="21"/>
  <c r="C34" i="21"/>
  <c r="A33" i="21"/>
  <c r="B33" i="20"/>
  <c r="C34" i="20"/>
  <c r="A33" i="20"/>
  <c r="B33" i="19"/>
  <c r="C34" i="19"/>
  <c r="A33" i="19"/>
  <c r="B32" i="18"/>
  <c r="C33" i="18"/>
  <c r="A32" i="18"/>
  <c r="B33" i="17"/>
  <c r="C34" i="17"/>
  <c r="A33" i="17"/>
  <c r="B32" i="16"/>
  <c r="C33" i="16"/>
  <c r="A32" i="16"/>
  <c r="B33" i="26" l="1"/>
  <c r="C34" i="26"/>
  <c r="A33" i="26"/>
  <c r="B34" i="25"/>
  <c r="A34" i="25"/>
  <c r="C35" i="25"/>
  <c r="B33" i="24"/>
  <c r="C34" i="24"/>
  <c r="A33" i="24"/>
  <c r="B33" i="23"/>
  <c r="C34" i="23"/>
  <c r="A33" i="23"/>
  <c r="B33" i="22"/>
  <c r="C34" i="22"/>
  <c r="A33" i="22"/>
  <c r="B34" i="21"/>
  <c r="A34" i="21"/>
  <c r="C35" i="21"/>
  <c r="B34" i="20"/>
  <c r="A34" i="20"/>
  <c r="C35" i="20"/>
  <c r="B34" i="19"/>
  <c r="A34" i="19"/>
  <c r="C35" i="19"/>
  <c r="B33" i="18"/>
  <c r="C34" i="18"/>
  <c r="A33" i="18"/>
  <c r="B34" i="17"/>
  <c r="A34" i="17"/>
  <c r="C35" i="17"/>
  <c r="B33" i="16"/>
  <c r="C34" i="16"/>
  <c r="A33" i="16"/>
  <c r="B34" i="26" l="1"/>
  <c r="A34" i="26"/>
  <c r="C35" i="26"/>
  <c r="B35" i="25"/>
  <c r="C36" i="25"/>
  <c r="A35" i="25"/>
  <c r="B34" i="24"/>
  <c r="C35" i="24"/>
  <c r="A34" i="24"/>
  <c r="B34" i="23"/>
  <c r="A34" i="23"/>
  <c r="C35" i="23"/>
  <c r="B34" i="22"/>
  <c r="A34" i="22"/>
  <c r="C35" i="22"/>
  <c r="B35" i="21"/>
  <c r="C36" i="21"/>
  <c r="A35" i="21"/>
  <c r="B35" i="20"/>
  <c r="C36" i="20"/>
  <c r="A35" i="20"/>
  <c r="B35" i="19"/>
  <c r="C36" i="19"/>
  <c r="A35" i="19"/>
  <c r="B34" i="18"/>
  <c r="A34" i="18"/>
  <c r="C35" i="18"/>
  <c r="B35" i="17"/>
  <c r="C36" i="17"/>
  <c r="A35" i="17"/>
  <c r="B34" i="16"/>
  <c r="A34" i="16"/>
  <c r="C35" i="16"/>
  <c r="B35" i="26" l="1"/>
  <c r="C36" i="26"/>
  <c r="A35" i="26"/>
  <c r="B36" i="25"/>
  <c r="A36" i="25"/>
  <c r="C37" i="25"/>
  <c r="B35" i="24"/>
  <c r="C36" i="24"/>
  <c r="A35" i="24"/>
  <c r="B35" i="23"/>
  <c r="C36" i="23"/>
  <c r="A35" i="23"/>
  <c r="B35" i="22"/>
  <c r="C36" i="22"/>
  <c r="A35" i="22"/>
  <c r="B36" i="21"/>
  <c r="C37" i="21"/>
  <c r="A36" i="21"/>
  <c r="B36" i="20"/>
  <c r="A36" i="20"/>
  <c r="C37" i="20"/>
  <c r="B36" i="19"/>
  <c r="A36" i="19"/>
  <c r="C37" i="19"/>
  <c r="B35" i="18"/>
  <c r="C36" i="18"/>
  <c r="A35" i="18"/>
  <c r="B36" i="17"/>
  <c r="A36" i="17"/>
  <c r="C37" i="17"/>
  <c r="B35" i="16"/>
  <c r="C36" i="16"/>
  <c r="A35" i="16"/>
  <c r="C37" i="16" l="1"/>
  <c r="B36" i="26"/>
  <c r="A36" i="26"/>
  <c r="C37" i="26"/>
  <c r="B37" i="25"/>
  <c r="C38" i="25"/>
  <c r="A37" i="25"/>
  <c r="B36" i="24"/>
  <c r="A36" i="24"/>
  <c r="C37" i="24"/>
  <c r="B36" i="23"/>
  <c r="A36" i="23"/>
  <c r="C37" i="23"/>
  <c r="B36" i="22"/>
  <c r="A36" i="22"/>
  <c r="C37" i="22"/>
  <c r="B37" i="21"/>
  <c r="C38" i="21"/>
  <c r="A37" i="21"/>
  <c r="B37" i="20"/>
  <c r="C38" i="20"/>
  <c r="A37" i="20"/>
  <c r="B37" i="19"/>
  <c r="C38" i="19"/>
  <c r="A37" i="19"/>
  <c r="B36" i="18"/>
  <c r="A36" i="18"/>
  <c r="C37" i="18"/>
  <c r="B37" i="17"/>
  <c r="C38" i="17"/>
  <c r="A37" i="17"/>
  <c r="B36" i="16"/>
  <c r="A36" i="16"/>
  <c r="A37" i="16" l="1"/>
  <c r="B37" i="16"/>
  <c r="B37" i="26"/>
  <c r="C38" i="26"/>
  <c r="A37" i="26"/>
  <c r="B38" i="25"/>
  <c r="A38" i="25"/>
  <c r="B37" i="24"/>
  <c r="C38" i="24"/>
  <c r="A37" i="24"/>
  <c r="B37" i="23"/>
  <c r="C38" i="23"/>
  <c r="A37" i="23"/>
  <c r="B37" i="22"/>
  <c r="C38" i="22"/>
  <c r="A37" i="22"/>
  <c r="B38" i="21"/>
  <c r="A38" i="21"/>
  <c r="C39" i="21"/>
  <c r="B38" i="20"/>
  <c r="A38" i="20"/>
  <c r="B38" i="19"/>
  <c r="A38" i="19"/>
  <c r="C39" i="19"/>
  <c r="B37" i="18"/>
  <c r="C38" i="18"/>
  <c r="A37" i="18"/>
  <c r="B38" i="17"/>
  <c r="A38" i="17"/>
  <c r="C39" i="17"/>
  <c r="B38" i="26" l="1"/>
  <c r="A38" i="26"/>
  <c r="C39" i="26"/>
  <c r="B38" i="24"/>
  <c r="A38" i="24"/>
  <c r="C39" i="24"/>
  <c r="B38" i="23"/>
  <c r="A38" i="23"/>
  <c r="B38" i="22"/>
  <c r="A38" i="22"/>
  <c r="C39" i="22"/>
  <c r="B39" i="21"/>
  <c r="A39" i="21"/>
  <c r="B39" i="19"/>
  <c r="A39" i="19"/>
  <c r="B38" i="18"/>
  <c r="A38" i="18"/>
  <c r="B39" i="17"/>
  <c r="A39" i="17"/>
  <c r="B39" i="26" l="1"/>
  <c r="A39" i="26"/>
  <c r="B39" i="24"/>
  <c r="A39" i="24"/>
  <c r="B39" i="22"/>
  <c r="A39" i="22"/>
  <c r="G5" i="36" l="1"/>
  <c r="H5" i="36"/>
  <c r="I5" i="36"/>
  <c r="J5" i="36"/>
  <c r="K5" i="36"/>
  <c r="L5" i="36"/>
  <c r="M5" i="36"/>
  <c r="G6" i="36"/>
  <c r="H6" i="36"/>
  <c r="I6" i="36"/>
  <c r="J6" i="36"/>
  <c r="K6" i="36"/>
  <c r="L6" i="36"/>
  <c r="M6" i="36"/>
  <c r="G7" i="36"/>
  <c r="H7" i="36"/>
  <c r="I7" i="36"/>
  <c r="J7" i="36"/>
  <c r="K7" i="36"/>
  <c r="L7" i="36"/>
  <c r="M7" i="36"/>
  <c r="G8" i="36"/>
  <c r="H8" i="36"/>
  <c r="I8" i="36"/>
  <c r="J8" i="36"/>
  <c r="K8" i="36"/>
  <c r="L8" i="36"/>
  <c r="M8" i="36"/>
  <c r="G9" i="36"/>
  <c r="H9" i="36"/>
  <c r="I9" i="36"/>
  <c r="J9" i="36"/>
  <c r="K9" i="36"/>
  <c r="L9" i="36"/>
  <c r="M9" i="36"/>
  <c r="G10" i="36"/>
  <c r="H10" i="36"/>
  <c r="I10" i="36"/>
  <c r="J10" i="36"/>
  <c r="K10" i="36"/>
  <c r="L10" i="36"/>
  <c r="M10" i="36"/>
  <c r="G11" i="36"/>
  <c r="H11" i="36"/>
  <c r="I11" i="36"/>
  <c r="J11" i="36"/>
  <c r="K11" i="36"/>
  <c r="L11" i="36"/>
  <c r="M11" i="36"/>
  <c r="G12" i="36"/>
  <c r="H12" i="36"/>
  <c r="I12" i="36"/>
  <c r="J12" i="36"/>
  <c r="K12" i="36"/>
  <c r="L12" i="36"/>
  <c r="M12" i="36"/>
  <c r="G13" i="36"/>
  <c r="H13" i="36"/>
  <c r="I13" i="36"/>
  <c r="J13" i="36"/>
  <c r="K13" i="36"/>
  <c r="L13" i="36"/>
  <c r="M13" i="36"/>
  <c r="G14" i="36"/>
  <c r="H14" i="36"/>
  <c r="I14" i="36"/>
  <c r="J14" i="36"/>
  <c r="K14" i="36"/>
  <c r="L14" i="36"/>
  <c r="M14" i="36"/>
  <c r="G15" i="36"/>
  <c r="H15" i="36"/>
  <c r="I15" i="36"/>
  <c r="J15" i="36"/>
  <c r="K15" i="36"/>
  <c r="L15" i="36"/>
  <c r="M15" i="36"/>
  <c r="M4" i="36"/>
  <c r="L4" i="36"/>
  <c r="K4" i="36"/>
  <c r="J4" i="36"/>
  <c r="I4" i="36"/>
  <c r="H4" i="36"/>
  <c r="G4" i="36"/>
  <c r="C23" i="31"/>
  <c r="C35" i="28"/>
  <c r="I44" i="15" s="1"/>
  <c r="C35" i="31"/>
  <c r="C25" i="31"/>
  <c r="C15" i="31"/>
  <c r="C43" i="31" l="1"/>
  <c r="D42" i="31"/>
  <c r="E42" i="31" s="1"/>
  <c r="F42" i="31" s="1"/>
  <c r="G42" i="31" s="1"/>
  <c r="H42" i="31" s="1"/>
  <c r="I42" i="31" s="1"/>
  <c r="J42" i="31" s="1"/>
  <c r="K42" i="31" s="1"/>
  <c r="L42" i="31" s="1"/>
  <c r="M42" i="31" s="1"/>
  <c r="N42" i="31" s="1"/>
  <c r="D41" i="31"/>
  <c r="E41" i="31" l="1"/>
  <c r="F41" i="31" s="1"/>
  <c r="G41" i="31" s="1"/>
  <c r="H41" i="31" s="1"/>
  <c r="I41" i="31" s="1"/>
  <c r="J41" i="31" s="1"/>
  <c r="K41" i="31" s="1"/>
  <c r="L41" i="31" s="1"/>
  <c r="M41" i="31" s="1"/>
  <c r="N41" i="31" s="1"/>
  <c r="O42" i="31"/>
  <c r="D43" i="31"/>
  <c r="O41" i="31" l="1"/>
  <c r="E43" i="31"/>
  <c r="B58" i="18"/>
  <c r="B57" i="18"/>
  <c r="B56" i="18"/>
  <c r="B58" i="19"/>
  <c r="B57" i="19"/>
  <c r="B56" i="19"/>
  <c r="B58" i="20"/>
  <c r="B57" i="20"/>
  <c r="B56" i="20"/>
  <c r="B58" i="21"/>
  <c r="B57" i="21"/>
  <c r="B56" i="21"/>
  <c r="B58" i="22"/>
  <c r="B57" i="22"/>
  <c r="B56" i="22"/>
  <c r="B58" i="23"/>
  <c r="B57" i="23"/>
  <c r="B56" i="23"/>
  <c r="B58" i="24"/>
  <c r="B57" i="24"/>
  <c r="B56" i="24"/>
  <c r="B58" i="25"/>
  <c r="B57" i="25"/>
  <c r="B56" i="25"/>
  <c r="B58" i="26"/>
  <c r="B57" i="26"/>
  <c r="B56" i="26"/>
  <c r="B58" i="17"/>
  <c r="B57" i="17"/>
  <c r="B56" i="17"/>
  <c r="B58" i="16"/>
  <c r="B57" i="16"/>
  <c r="B56" i="16"/>
  <c r="C33" i="31"/>
  <c r="C48" i="31" s="1"/>
  <c r="D32" i="31"/>
  <c r="E32" i="31" s="1"/>
  <c r="F32" i="31" s="1"/>
  <c r="D31" i="31"/>
  <c r="F43" i="31" l="1"/>
  <c r="G32" i="31"/>
  <c r="H32" i="31" s="1"/>
  <c r="E31" i="31"/>
  <c r="D33" i="31"/>
  <c r="F37" i="28"/>
  <c r="F38" i="28"/>
  <c r="F39" i="28"/>
  <c r="F40" i="28"/>
  <c r="F41" i="28"/>
  <c r="F42" i="28"/>
  <c r="F43" i="28"/>
  <c r="F44" i="28"/>
  <c r="F45" i="28"/>
  <c r="F48" i="28"/>
  <c r="F47" i="28" s="1"/>
  <c r="F54" i="28"/>
  <c r="AE15" i="36"/>
  <c r="AE14" i="36"/>
  <c r="AE13" i="36"/>
  <c r="AE12" i="36"/>
  <c r="AE11" i="36"/>
  <c r="AE10" i="36"/>
  <c r="AE9" i="36"/>
  <c r="AE8" i="36"/>
  <c r="AE7" i="36"/>
  <c r="AH40" i="17"/>
  <c r="AE6" i="36" s="1"/>
  <c r="D21" i="31"/>
  <c r="P43" i="15"/>
  <c r="B58" i="15"/>
  <c r="B57" i="15"/>
  <c r="B56" i="15"/>
  <c r="C9" i="15"/>
  <c r="X40" i="16"/>
  <c r="X40" i="17"/>
  <c r="F4" i="36"/>
  <c r="E4" i="36"/>
  <c r="C15" i="36"/>
  <c r="B15" i="36"/>
  <c r="C14" i="36"/>
  <c r="B14" i="36"/>
  <c r="C13" i="36"/>
  <c r="B13" i="36"/>
  <c r="C12" i="36"/>
  <c r="B12" i="36"/>
  <c r="C11" i="36"/>
  <c r="B11" i="36"/>
  <c r="C10" i="36"/>
  <c r="B10" i="36"/>
  <c r="C9" i="36"/>
  <c r="B9" i="36"/>
  <c r="C8" i="36"/>
  <c r="B8" i="36"/>
  <c r="C7" i="36"/>
  <c r="B7" i="36"/>
  <c r="C6" i="36"/>
  <c r="B6" i="36"/>
  <c r="C5" i="36"/>
  <c r="B5" i="36"/>
  <c r="C4" i="36"/>
  <c r="B4" i="36"/>
  <c r="AH40" i="15"/>
  <c r="AE4" i="36" s="1"/>
  <c r="AF4" i="26"/>
  <c r="AF4" i="25"/>
  <c r="AF4" i="24"/>
  <c r="AF4" i="23"/>
  <c r="AF4" i="22"/>
  <c r="AF4" i="21"/>
  <c r="AF4" i="20"/>
  <c r="AF4" i="19"/>
  <c r="AF4" i="18"/>
  <c r="AF4" i="17"/>
  <c r="AF4" i="16"/>
  <c r="F4" i="26"/>
  <c r="F4" i="25"/>
  <c r="F4" i="17"/>
  <c r="F4" i="18"/>
  <c r="F4" i="19"/>
  <c r="F4" i="20"/>
  <c r="F4" i="21"/>
  <c r="F4" i="22"/>
  <c r="F4" i="23"/>
  <c r="F4" i="24"/>
  <c r="F4" i="16"/>
  <c r="F4" i="15"/>
  <c r="H45" i="26"/>
  <c r="H45" i="25"/>
  <c r="H45" i="24"/>
  <c r="H45" i="23"/>
  <c r="H45" i="22"/>
  <c r="H45" i="21"/>
  <c r="H45" i="20"/>
  <c r="H45" i="19"/>
  <c r="H45" i="18"/>
  <c r="H45" i="17"/>
  <c r="H45" i="16"/>
  <c r="AF4" i="15"/>
  <c r="F3" i="26"/>
  <c r="F2" i="26"/>
  <c r="F3" i="25"/>
  <c r="F2" i="25"/>
  <c r="F3" i="24"/>
  <c r="F2" i="24"/>
  <c r="F3" i="23"/>
  <c r="F2" i="23"/>
  <c r="F3" i="22"/>
  <c r="F2" i="22"/>
  <c r="F3" i="21"/>
  <c r="F2" i="21"/>
  <c r="F3" i="20"/>
  <c r="F2" i="20"/>
  <c r="F3" i="19"/>
  <c r="F2" i="19"/>
  <c r="F3" i="18"/>
  <c r="F2" i="18"/>
  <c r="F3" i="17"/>
  <c r="F2" i="17"/>
  <c r="F3" i="16"/>
  <c r="F2" i="16"/>
  <c r="A49" i="17"/>
  <c r="A49" i="18"/>
  <c r="A49" i="19"/>
  <c r="A49" i="20"/>
  <c r="A49" i="21"/>
  <c r="A49" i="22"/>
  <c r="A49" i="23"/>
  <c r="A49" i="24"/>
  <c r="A49" i="25"/>
  <c r="A49" i="26"/>
  <c r="A49" i="16"/>
  <c r="A49" i="15"/>
  <c r="D22" i="31"/>
  <c r="D16" i="31"/>
  <c r="E16" i="31" s="1"/>
  <c r="F16" i="31" s="1"/>
  <c r="G16" i="31" s="1"/>
  <c r="H16" i="31" s="1"/>
  <c r="I16" i="31" s="1"/>
  <c r="J16" i="31" s="1"/>
  <c r="K16" i="31" s="1"/>
  <c r="L16" i="31" s="1"/>
  <c r="M16" i="31" s="1"/>
  <c r="N16" i="31" s="1"/>
  <c r="F24" i="32"/>
  <c r="F8" i="32"/>
  <c r="F9" i="32"/>
  <c r="F10" i="32" s="1"/>
  <c r="C10" i="32"/>
  <c r="F12" i="32"/>
  <c r="F13" i="32"/>
  <c r="F14" i="32"/>
  <c r="F15" i="32"/>
  <c r="F16" i="32"/>
  <c r="F17" i="32"/>
  <c r="F18" i="32"/>
  <c r="C19" i="32"/>
  <c r="F25" i="32"/>
  <c r="F26" i="32" s="1"/>
  <c r="C26" i="32"/>
  <c r="F28" i="32"/>
  <c r="F29" i="32"/>
  <c r="F30" i="32"/>
  <c r="F31" i="32"/>
  <c r="F32" i="32"/>
  <c r="F33" i="32"/>
  <c r="F34" i="32"/>
  <c r="C35" i="32"/>
  <c r="P43" i="16"/>
  <c r="C11" i="31"/>
  <c r="C13" i="31" s="1"/>
  <c r="C45" i="31"/>
  <c r="F3" i="15"/>
  <c r="F2" i="15"/>
  <c r="C48" i="28"/>
  <c r="I49" i="21" s="1"/>
  <c r="A48" i="28"/>
  <c r="A47" i="28"/>
  <c r="A46" i="28"/>
  <c r="F35" i="32" l="1"/>
  <c r="AF9" i="15"/>
  <c r="AF10" i="23"/>
  <c r="AF17" i="22"/>
  <c r="AF19" i="24"/>
  <c r="AF32" i="26"/>
  <c r="AB32" i="26" s="1"/>
  <c r="AF33" i="26"/>
  <c r="AF34" i="26"/>
  <c r="AF9" i="19"/>
  <c r="AF9" i="25"/>
  <c r="AF39" i="26"/>
  <c r="C10" i="15"/>
  <c r="AF11" i="24"/>
  <c r="C44" i="31"/>
  <c r="C34" i="31"/>
  <c r="C24" i="31"/>
  <c r="G43" i="31"/>
  <c r="F19" i="32"/>
  <c r="I49" i="24"/>
  <c r="F31" i="31"/>
  <c r="I32" i="31"/>
  <c r="E21" i="31"/>
  <c r="F21" i="31" s="1"/>
  <c r="V40" i="15"/>
  <c r="V40" i="17"/>
  <c r="F6" i="36"/>
  <c r="E5" i="36"/>
  <c r="F5" i="36"/>
  <c r="D11" i="31"/>
  <c r="D13" i="31" s="1"/>
  <c r="E22" i="31"/>
  <c r="P44" i="15"/>
  <c r="D4" i="36"/>
  <c r="I49" i="19"/>
  <c r="I49" i="18"/>
  <c r="I49" i="25"/>
  <c r="I49" i="23"/>
  <c r="I49" i="22"/>
  <c r="I49" i="16"/>
  <c r="I49" i="17"/>
  <c r="I49" i="26"/>
  <c r="I49" i="15"/>
  <c r="A9" i="15"/>
  <c r="D23" i="31"/>
  <c r="E33" i="31"/>
  <c r="V40" i="16"/>
  <c r="I49" i="20"/>
  <c r="F51" i="28"/>
  <c r="F50" i="28"/>
  <c r="AF20" i="18" s="1"/>
  <c r="B9" i="15"/>
  <c r="F53" i="28"/>
  <c r="F49" i="28"/>
  <c r="AF10" i="20" s="1"/>
  <c r="F52" i="28"/>
  <c r="AF17" i="23" l="1"/>
  <c r="AF20" i="22"/>
  <c r="AF17" i="26"/>
  <c r="AF19" i="23"/>
  <c r="AF10" i="18"/>
  <c r="AF10" i="19"/>
  <c r="AF19" i="16"/>
  <c r="AB19" i="16" s="1"/>
  <c r="AF10" i="22"/>
  <c r="AF20" i="25"/>
  <c r="AF20" i="26"/>
  <c r="AF10" i="21"/>
  <c r="AF20" i="17"/>
  <c r="AF17" i="16"/>
  <c r="AF10" i="17"/>
  <c r="C11" i="15"/>
  <c r="A11" i="15" s="1"/>
  <c r="AF10" i="15"/>
  <c r="AF17" i="25"/>
  <c r="AF10" i="16"/>
  <c r="AF20" i="23"/>
  <c r="AF20" i="21"/>
  <c r="AF20" i="24"/>
  <c r="AF19" i="25"/>
  <c r="AF17" i="20"/>
  <c r="AC17" i="20" s="1"/>
  <c r="AF10" i="25"/>
  <c r="AF20" i="20"/>
  <c r="AF19" i="17"/>
  <c r="AF17" i="19"/>
  <c r="AF10" i="24"/>
  <c r="AF17" i="18"/>
  <c r="AF17" i="24"/>
  <c r="AF19" i="26"/>
  <c r="AA19" i="26" s="1"/>
  <c r="AF19" i="20"/>
  <c r="AF17" i="21"/>
  <c r="AB17" i="21" s="1"/>
  <c r="AF33" i="24"/>
  <c r="AF19" i="22"/>
  <c r="AF19" i="19"/>
  <c r="AF17" i="17"/>
  <c r="AF10" i="26"/>
  <c r="AF20" i="19"/>
  <c r="AA20" i="19" s="1"/>
  <c r="AF20" i="16"/>
  <c r="AF19" i="18"/>
  <c r="AF19" i="21"/>
  <c r="AF16" i="17"/>
  <c r="AC16" i="17" s="1"/>
  <c r="N9" i="15"/>
  <c r="D9" i="15"/>
  <c r="I9" i="15"/>
  <c r="AB11" i="24"/>
  <c r="AB34" i="26"/>
  <c r="AB39" i="26"/>
  <c r="AA33" i="26"/>
  <c r="AF33" i="17"/>
  <c r="AA33" i="17" s="1"/>
  <c r="AF12" i="21"/>
  <c r="AB12" i="21" s="1"/>
  <c r="AF38" i="22"/>
  <c r="AF38" i="17"/>
  <c r="AB38" i="17" s="1"/>
  <c r="AF37" i="21"/>
  <c r="AB37" i="21" s="1"/>
  <c r="AF36" i="18"/>
  <c r="AF35" i="22"/>
  <c r="AF35" i="19"/>
  <c r="AF35" i="20"/>
  <c r="AF33" i="16"/>
  <c r="AF32" i="16"/>
  <c r="AF32" i="21"/>
  <c r="AF32" i="17"/>
  <c r="AC32" i="17" s="1"/>
  <c r="AF30" i="22"/>
  <c r="AA30" i="22" s="1"/>
  <c r="AF29" i="23"/>
  <c r="AF28" i="18"/>
  <c r="AB28" i="18" s="1"/>
  <c r="AF29" i="19"/>
  <c r="AA29" i="19" s="1"/>
  <c r="AF27" i="18"/>
  <c r="AF26" i="23"/>
  <c r="AB26" i="23" s="1"/>
  <c r="AF25" i="16"/>
  <c r="AF26" i="25"/>
  <c r="AF25" i="25"/>
  <c r="AF23" i="16"/>
  <c r="AF24" i="20"/>
  <c r="AF23" i="20"/>
  <c r="AB23" i="20" s="1"/>
  <c r="AF21" i="26"/>
  <c r="AC21" i="26" s="1"/>
  <c r="AF21" i="19"/>
  <c r="AC21" i="19" s="1"/>
  <c r="AF21" i="17"/>
  <c r="AB21" i="17" s="1"/>
  <c r="AB17" i="18"/>
  <c r="AF18" i="17"/>
  <c r="AF16" i="16"/>
  <c r="AA16" i="16" s="1"/>
  <c r="AF15" i="22"/>
  <c r="AA15" i="22" s="1"/>
  <c r="AF15" i="18"/>
  <c r="AF15" i="19"/>
  <c r="AA15" i="19" s="1"/>
  <c r="AF13" i="16"/>
  <c r="AF13" i="21"/>
  <c r="AC13" i="21" s="1"/>
  <c r="AF13" i="17"/>
  <c r="AF38" i="18"/>
  <c r="AF36" i="22"/>
  <c r="AB36" i="22" s="1"/>
  <c r="AF36" i="23"/>
  <c r="AF36" i="19"/>
  <c r="AA36" i="19" s="1"/>
  <c r="AF38" i="24"/>
  <c r="AF38" i="19"/>
  <c r="AF37" i="25"/>
  <c r="AF37" i="19"/>
  <c r="AF35" i="23"/>
  <c r="AF34" i="16"/>
  <c r="AF34" i="21"/>
  <c r="AF34" i="25"/>
  <c r="AC34" i="25" s="1"/>
  <c r="AF32" i="25"/>
  <c r="AF31" i="19"/>
  <c r="AF30" i="23"/>
  <c r="AC30" i="23" s="1"/>
  <c r="AF29" i="22"/>
  <c r="AF28" i="16"/>
  <c r="AF29" i="20"/>
  <c r="AF28" i="19"/>
  <c r="AF27" i="21"/>
  <c r="AF25" i="24"/>
  <c r="AF25" i="22"/>
  <c r="AB25" i="22" s="1"/>
  <c r="AF25" i="17"/>
  <c r="AF23" i="26"/>
  <c r="AF23" i="17"/>
  <c r="AF22" i="23"/>
  <c r="AF22" i="17"/>
  <c r="AF18" i="19"/>
  <c r="AF16" i="22"/>
  <c r="AC16" i="22" s="1"/>
  <c r="AF15" i="26"/>
  <c r="AF16" i="21"/>
  <c r="AF14" i="26"/>
  <c r="AF14" i="21"/>
  <c r="AC14" i="21" s="1"/>
  <c r="AF12" i="18"/>
  <c r="AF12" i="16"/>
  <c r="AF32" i="22"/>
  <c r="AF31" i="18"/>
  <c r="AA31" i="18" s="1"/>
  <c r="AF30" i="24"/>
  <c r="AB30" i="24" s="1"/>
  <c r="AF31" i="17"/>
  <c r="AF30" i="19"/>
  <c r="AB30" i="19" s="1"/>
  <c r="AF29" i="21"/>
  <c r="AC29" i="21" s="1"/>
  <c r="AF27" i="24"/>
  <c r="AC27" i="24" s="1"/>
  <c r="AF28" i="25"/>
  <c r="AF27" i="19"/>
  <c r="AF25" i="26"/>
  <c r="AF26" i="17"/>
  <c r="AC26" i="17" s="1"/>
  <c r="AF24" i="22"/>
  <c r="AC24" i="22" s="1"/>
  <c r="AF24" i="21"/>
  <c r="AC24" i="21" s="1"/>
  <c r="AF22" i="16"/>
  <c r="AF23" i="25"/>
  <c r="AF22" i="25"/>
  <c r="AF21" i="25"/>
  <c r="AF18" i="26"/>
  <c r="AB18" i="26" s="1"/>
  <c r="AF16" i="25"/>
  <c r="AF16" i="20"/>
  <c r="AF14" i="22"/>
  <c r="AC14" i="22" s="1"/>
  <c r="AF14" i="18"/>
  <c r="AB14" i="18" s="1"/>
  <c r="AF14" i="17"/>
  <c r="AF13" i="20"/>
  <c r="AF13" i="19"/>
  <c r="AF37" i="22"/>
  <c r="AC37" i="22" s="1"/>
  <c r="AF33" i="18"/>
  <c r="AC33" i="18" s="1"/>
  <c r="AF38" i="26"/>
  <c r="AF37" i="16"/>
  <c r="AC37" i="16" s="1"/>
  <c r="AF36" i="24"/>
  <c r="AF36" i="17"/>
  <c r="AA36" i="17" s="1"/>
  <c r="AF36" i="20"/>
  <c r="AF35" i="25"/>
  <c r="AF33" i="23"/>
  <c r="AF33" i="22"/>
  <c r="AA33" i="22" s="1"/>
  <c r="AF32" i="23"/>
  <c r="AF31" i="22"/>
  <c r="AF30" i="16"/>
  <c r="AA30" i="16" s="1"/>
  <c r="AF31" i="20"/>
  <c r="AA31" i="20" s="1"/>
  <c r="AF30" i="17"/>
  <c r="AC30" i="17" s="1"/>
  <c r="AF28" i="26"/>
  <c r="AF28" i="21"/>
  <c r="AF27" i="16"/>
  <c r="AF27" i="20"/>
  <c r="AF26" i="21"/>
  <c r="AC26" i="21" s="1"/>
  <c r="AF24" i="18"/>
  <c r="AF24" i="23"/>
  <c r="AC24" i="23" s="1"/>
  <c r="AF24" i="25"/>
  <c r="AF23" i="19"/>
  <c r="AA23" i="19" s="1"/>
  <c r="AF22" i="18"/>
  <c r="AC22" i="18" s="1"/>
  <c r="AF21" i="18"/>
  <c r="AB21" i="18" s="1"/>
  <c r="AC20" i="22"/>
  <c r="AF18" i="22"/>
  <c r="AB18" i="22" s="1"/>
  <c r="AF18" i="20"/>
  <c r="AF15" i="24"/>
  <c r="AA15" i="24" s="1"/>
  <c r="AF14" i="25"/>
  <c r="AF14" i="16"/>
  <c r="AF13" i="18"/>
  <c r="AF12" i="25"/>
  <c r="AF12" i="17"/>
  <c r="AF38" i="23"/>
  <c r="AC38" i="23" s="1"/>
  <c r="AF37" i="18"/>
  <c r="AA37" i="18" s="1"/>
  <c r="AF36" i="16"/>
  <c r="AC36" i="16" s="1"/>
  <c r="AF35" i="24"/>
  <c r="AF36" i="21"/>
  <c r="AB36" i="21" s="1"/>
  <c r="AF35" i="21"/>
  <c r="AF34" i="20"/>
  <c r="AF33" i="21"/>
  <c r="AB33" i="21" s="1"/>
  <c r="AF33" i="19"/>
  <c r="AF32" i="20"/>
  <c r="AB32" i="20" s="1"/>
  <c r="AF30" i="26"/>
  <c r="AF29" i="24"/>
  <c r="AF29" i="16"/>
  <c r="AA29" i="16" s="1"/>
  <c r="AF29" i="25"/>
  <c r="AF27" i="23"/>
  <c r="AC27" i="23" s="1"/>
  <c r="AF28" i="17"/>
  <c r="AB28" i="17" s="1"/>
  <c r="AF27" i="17"/>
  <c r="AB27" i="17" s="1"/>
  <c r="AF25" i="18"/>
  <c r="AF24" i="24"/>
  <c r="AF25" i="19"/>
  <c r="AF23" i="18"/>
  <c r="AF22" i="26"/>
  <c r="AF22" i="21"/>
  <c r="AB22" i="21" s="1"/>
  <c r="AF21" i="23"/>
  <c r="AF18" i="24"/>
  <c r="AF16" i="26"/>
  <c r="AB16" i="26" s="1"/>
  <c r="AF14" i="23"/>
  <c r="AF15" i="17"/>
  <c r="AF13" i="26"/>
  <c r="AC13" i="26" s="1"/>
  <c r="AF12" i="23"/>
  <c r="AF12" i="20"/>
  <c r="AF37" i="26"/>
  <c r="AF38" i="21"/>
  <c r="AF37" i="17"/>
  <c r="AF35" i="26"/>
  <c r="AF36" i="25"/>
  <c r="AF34" i="22"/>
  <c r="AF34" i="19"/>
  <c r="AF32" i="18"/>
  <c r="AB32" i="18" s="1"/>
  <c r="AF33" i="25"/>
  <c r="AF32" i="19"/>
  <c r="AB32" i="19" s="1"/>
  <c r="AF31" i="21"/>
  <c r="AF29" i="26"/>
  <c r="AF30" i="21"/>
  <c r="AF28" i="23"/>
  <c r="AF27" i="26"/>
  <c r="AF26" i="16"/>
  <c r="AF27" i="25"/>
  <c r="AF26" i="19"/>
  <c r="AC26" i="19" s="1"/>
  <c r="AF24" i="26"/>
  <c r="AC24" i="26" s="1"/>
  <c r="AF25" i="20"/>
  <c r="AB25" i="20" s="1"/>
  <c r="AF24" i="19"/>
  <c r="AB24" i="19" s="1"/>
  <c r="AF22" i="24"/>
  <c r="AF21" i="16"/>
  <c r="AF21" i="22"/>
  <c r="AC21" i="22" s="1"/>
  <c r="AA20" i="16"/>
  <c r="AF18" i="16"/>
  <c r="AA18" i="16" s="1"/>
  <c r="AF18" i="21"/>
  <c r="AF16" i="23"/>
  <c r="AA17" i="17"/>
  <c r="AF15" i="16"/>
  <c r="AF15" i="20"/>
  <c r="AF13" i="25"/>
  <c r="AC13" i="25" s="1"/>
  <c r="AF13" i="23"/>
  <c r="AA13" i="23" s="1"/>
  <c r="AF12" i="22"/>
  <c r="AA12" i="22" s="1"/>
  <c r="AF12" i="19"/>
  <c r="AF37" i="23"/>
  <c r="AC37" i="23" s="1"/>
  <c r="AF37" i="24"/>
  <c r="AF36" i="26"/>
  <c r="AF35" i="18"/>
  <c r="AF34" i="24"/>
  <c r="AF34" i="23"/>
  <c r="AC34" i="23" s="1"/>
  <c r="AF34" i="17"/>
  <c r="AB34" i="17" s="1"/>
  <c r="AF33" i="20"/>
  <c r="AB33" i="20" s="1"/>
  <c r="AF31" i="23"/>
  <c r="AF31" i="26"/>
  <c r="AF31" i="25"/>
  <c r="AF30" i="20"/>
  <c r="AC30" i="20" s="1"/>
  <c r="AF30" i="25"/>
  <c r="AF28" i="24"/>
  <c r="AF28" i="20"/>
  <c r="AF26" i="18"/>
  <c r="AF26" i="24"/>
  <c r="AF25" i="23"/>
  <c r="AF25" i="21"/>
  <c r="AF23" i="22"/>
  <c r="AA23" i="22" s="1"/>
  <c r="AF23" i="23"/>
  <c r="AA23" i="23" s="1"/>
  <c r="AF22" i="22"/>
  <c r="AC22" i="22" s="1"/>
  <c r="AF21" i="24"/>
  <c r="AB21" i="24" s="1"/>
  <c r="AF22" i="20"/>
  <c r="AF21" i="20"/>
  <c r="AF18" i="18"/>
  <c r="AF18" i="25"/>
  <c r="AF16" i="24"/>
  <c r="AF16" i="19"/>
  <c r="AC16" i="19" s="1"/>
  <c r="AF14" i="24"/>
  <c r="AF13" i="24"/>
  <c r="AF13" i="22"/>
  <c r="AF12" i="26"/>
  <c r="AF39" i="18"/>
  <c r="AC39" i="18" s="1"/>
  <c r="AF38" i="25"/>
  <c r="AF38" i="20"/>
  <c r="AA38" i="20" s="1"/>
  <c r="AF37" i="20"/>
  <c r="AF35" i="16"/>
  <c r="AF34" i="18"/>
  <c r="AF35" i="17"/>
  <c r="AF32" i="24"/>
  <c r="AF31" i="24"/>
  <c r="AA31" i="24" s="1"/>
  <c r="AF31" i="16"/>
  <c r="AF30" i="18"/>
  <c r="AC30" i="18" s="1"/>
  <c r="AF29" i="18"/>
  <c r="AF29" i="17"/>
  <c r="AB29" i="17" s="1"/>
  <c r="AF28" i="22"/>
  <c r="AF27" i="22"/>
  <c r="AA27" i="22" s="1"/>
  <c r="AF26" i="26"/>
  <c r="AF26" i="22"/>
  <c r="AF26" i="20"/>
  <c r="AF24" i="16"/>
  <c r="AA24" i="16" s="1"/>
  <c r="AF24" i="17"/>
  <c r="AF23" i="24"/>
  <c r="AF23" i="21"/>
  <c r="AF22" i="19"/>
  <c r="AF21" i="21"/>
  <c r="AF18" i="23"/>
  <c r="AF16" i="18"/>
  <c r="AF15" i="23"/>
  <c r="AF15" i="25"/>
  <c r="AF15" i="21"/>
  <c r="AA15" i="21" s="1"/>
  <c r="AF14" i="19"/>
  <c r="AB14" i="19" s="1"/>
  <c r="AF14" i="20"/>
  <c r="AF12" i="24"/>
  <c r="AF38" i="16"/>
  <c r="AA38" i="16" s="1"/>
  <c r="B10" i="15"/>
  <c r="AF39" i="21"/>
  <c r="AC39" i="21" s="1"/>
  <c r="AA22" i="24"/>
  <c r="AB19" i="19"/>
  <c r="AC17" i="22"/>
  <c r="AF9" i="20"/>
  <c r="AF9" i="26"/>
  <c r="AF39" i="19"/>
  <c r="AC16" i="21"/>
  <c r="D9" i="19"/>
  <c r="I9" i="19"/>
  <c r="N9" i="19"/>
  <c r="AF9" i="23"/>
  <c r="AA21" i="25"/>
  <c r="AF9" i="18"/>
  <c r="AF39" i="23"/>
  <c r="AF39" i="17"/>
  <c r="AA32" i="25"/>
  <c r="AA19" i="22"/>
  <c r="AF9" i="17"/>
  <c r="AA9" i="17" s="1"/>
  <c r="AF39" i="25"/>
  <c r="AA39" i="25" s="1"/>
  <c r="AC13" i="19"/>
  <c r="AF9" i="22"/>
  <c r="AF39" i="20"/>
  <c r="AA39" i="20" s="1"/>
  <c r="AF39" i="22"/>
  <c r="AF9" i="24"/>
  <c r="AF39" i="16"/>
  <c r="AF39" i="24"/>
  <c r="AB20" i="26"/>
  <c r="AA19" i="20"/>
  <c r="AF9" i="21"/>
  <c r="AB37" i="26"/>
  <c r="AC20" i="23"/>
  <c r="AC19" i="23"/>
  <c r="AC18" i="17"/>
  <c r="AA14" i="24"/>
  <c r="N9" i="25"/>
  <c r="D9" i="25"/>
  <c r="I9" i="25"/>
  <c r="AF9" i="16"/>
  <c r="AB9" i="19"/>
  <c r="A10" i="15"/>
  <c r="AC39" i="26"/>
  <c r="AC9" i="19"/>
  <c r="AA9" i="19"/>
  <c r="AC34" i="26"/>
  <c r="AC11" i="24"/>
  <c r="AA34" i="26"/>
  <c r="AC33" i="26"/>
  <c r="AB33" i="26"/>
  <c r="AA11" i="24"/>
  <c r="AB10" i="20"/>
  <c r="AF11" i="19"/>
  <c r="AC10" i="19"/>
  <c r="AF11" i="18"/>
  <c r="AF11" i="23"/>
  <c r="AA25" i="21"/>
  <c r="AC37" i="18"/>
  <c r="AB10" i="18"/>
  <c r="AF11" i="21"/>
  <c r="AF11" i="22"/>
  <c r="AC17" i="26"/>
  <c r="AB17" i="16"/>
  <c r="AC20" i="17"/>
  <c r="AC22" i="17"/>
  <c r="AA23" i="17"/>
  <c r="AA28" i="19"/>
  <c r="AF11" i="20"/>
  <c r="AC10" i="22"/>
  <c r="AF11" i="25"/>
  <c r="AF11" i="17"/>
  <c r="AF11" i="16"/>
  <c r="AF11" i="26"/>
  <c r="AA14" i="19"/>
  <c r="AC17" i="25"/>
  <c r="AA19" i="21"/>
  <c r="AB19" i="20"/>
  <c r="AC19" i="17"/>
  <c r="AC19" i="24"/>
  <c r="AC20" i="25"/>
  <c r="AA20" i="18"/>
  <c r="AC27" i="18"/>
  <c r="AA28" i="16"/>
  <c r="AA30" i="21"/>
  <c r="AB34" i="25"/>
  <c r="AC36" i="18"/>
  <c r="AB37" i="17"/>
  <c r="AC10" i="26"/>
  <c r="AB13" i="18"/>
  <c r="AC14" i="20"/>
  <c r="AA17" i="19"/>
  <c r="AC17" i="24"/>
  <c r="AA17" i="26"/>
  <c r="AA19" i="17"/>
  <c r="AB19" i="17"/>
  <c r="AC19" i="18"/>
  <c r="AB20" i="25"/>
  <c r="AA20" i="25"/>
  <c r="AC22" i="26"/>
  <c r="AC28" i="21"/>
  <c r="AA29" i="25"/>
  <c r="AC38" i="18"/>
  <c r="AC35" i="19"/>
  <c r="N32" i="26"/>
  <c r="I32" i="26"/>
  <c r="R32" i="26"/>
  <c r="D32" i="26"/>
  <c r="Y32" i="26"/>
  <c r="H32" i="26"/>
  <c r="M32" i="26"/>
  <c r="AC32" i="26"/>
  <c r="AA32" i="26"/>
  <c r="M9" i="25"/>
  <c r="H9" i="25"/>
  <c r="Y9" i="25"/>
  <c r="R9" i="25"/>
  <c r="N39" i="26"/>
  <c r="I39" i="26"/>
  <c r="D39" i="26"/>
  <c r="M39" i="26"/>
  <c r="H39" i="26"/>
  <c r="AK39" i="26" s="1"/>
  <c r="Y39" i="26"/>
  <c r="R39" i="26"/>
  <c r="N33" i="26"/>
  <c r="I33" i="26"/>
  <c r="D33" i="26"/>
  <c r="R33" i="26"/>
  <c r="Y33" i="26"/>
  <c r="H33" i="26"/>
  <c r="AK33" i="26" s="1"/>
  <c r="M33" i="26"/>
  <c r="AA9" i="25"/>
  <c r="AB9" i="25"/>
  <c r="AA39" i="26"/>
  <c r="N34" i="26"/>
  <c r="I34" i="26"/>
  <c r="R34" i="26"/>
  <c r="D34" i="26"/>
  <c r="Y34" i="26"/>
  <c r="H34" i="26"/>
  <c r="M34" i="26"/>
  <c r="I11" i="24"/>
  <c r="R11" i="24"/>
  <c r="H11" i="24"/>
  <c r="N11" i="24"/>
  <c r="D11" i="24"/>
  <c r="Y11" i="24"/>
  <c r="M11" i="24"/>
  <c r="AC9" i="25"/>
  <c r="R9" i="19"/>
  <c r="H9" i="19"/>
  <c r="Y9" i="19"/>
  <c r="M9" i="19"/>
  <c r="I10" i="15"/>
  <c r="B11" i="15"/>
  <c r="H43" i="31"/>
  <c r="D45" i="31"/>
  <c r="D48" i="31"/>
  <c r="J32" i="31"/>
  <c r="F22" i="31"/>
  <c r="G31" i="31"/>
  <c r="E11" i="31"/>
  <c r="E13" i="31" s="1"/>
  <c r="P43" i="17"/>
  <c r="E6" i="36"/>
  <c r="P43" i="18"/>
  <c r="P44" i="16"/>
  <c r="D5" i="36"/>
  <c r="E23" i="31"/>
  <c r="C46" i="31"/>
  <c r="G21" i="31"/>
  <c r="F33" i="31"/>
  <c r="C12" i="15" l="1"/>
  <c r="AF12" i="15" s="1"/>
  <c r="AC14" i="19"/>
  <c r="AF11" i="15"/>
  <c r="AK32" i="26"/>
  <c r="AC37" i="21"/>
  <c r="AC29" i="26"/>
  <c r="AA37" i="21"/>
  <c r="AK9" i="19"/>
  <c r="AC36" i="21"/>
  <c r="AC19" i="26"/>
  <c r="AA30" i="19"/>
  <c r="AB19" i="26"/>
  <c r="AK34" i="26"/>
  <c r="AB38" i="20"/>
  <c r="AC32" i="19"/>
  <c r="AB13" i="23"/>
  <c r="AA24" i="21"/>
  <c r="AB30" i="22"/>
  <c r="AC13" i="23"/>
  <c r="AA30" i="24"/>
  <c r="AB26" i="19"/>
  <c r="AB16" i="22"/>
  <c r="AA24" i="26"/>
  <c r="AB30" i="23"/>
  <c r="AA25" i="20"/>
  <c r="AA36" i="22"/>
  <c r="AA30" i="23"/>
  <c r="AK9" i="25"/>
  <c r="AC25" i="20"/>
  <c r="AC22" i="23"/>
  <c r="AK11" i="24"/>
  <c r="AC38" i="17"/>
  <c r="AC12" i="16"/>
  <c r="AB9" i="18"/>
  <c r="AA12" i="25"/>
  <c r="AA35" i="18"/>
  <c r="AB33" i="23"/>
  <c r="AC14" i="17"/>
  <c r="AC35" i="25"/>
  <c r="AB37" i="19"/>
  <c r="AB26" i="17"/>
  <c r="AC13" i="20"/>
  <c r="AC12" i="18"/>
  <c r="AA24" i="20"/>
  <c r="AB14" i="16"/>
  <c r="AB15" i="25"/>
  <c r="AB26" i="26"/>
  <c r="AA25" i="19"/>
  <c r="AB27" i="20"/>
  <c r="AB24" i="18"/>
  <c r="AB26" i="18"/>
  <c r="AA16" i="18"/>
  <c r="AA28" i="22"/>
  <c r="AC21" i="16"/>
  <c r="AA35" i="19"/>
  <c r="AC18" i="26"/>
  <c r="AB13" i="20"/>
  <c r="AB32" i="24"/>
  <c r="AB18" i="23"/>
  <c r="AC18" i="19"/>
  <c r="AB29" i="22"/>
  <c r="AA11" i="23"/>
  <c r="AC39" i="23"/>
  <c r="AC12" i="24"/>
  <c r="AA16" i="19"/>
  <c r="AC27" i="25"/>
  <c r="AC24" i="25"/>
  <c r="AC16" i="23"/>
  <c r="AC18" i="25"/>
  <c r="AA26" i="25"/>
  <c r="AC28" i="19"/>
  <c r="AC11" i="25"/>
  <c r="AA31" i="21"/>
  <c r="AA35" i="20"/>
  <c r="AB32" i="21"/>
  <c r="AC33" i="25"/>
  <c r="AA15" i="17"/>
  <c r="AB35" i="24"/>
  <c r="AC22" i="25"/>
  <c r="AA27" i="26"/>
  <c r="AB11" i="26"/>
  <c r="AC24" i="24"/>
  <c r="AC27" i="16"/>
  <c r="AC38" i="20"/>
  <c r="AD38" i="20" s="1"/>
  <c r="AC11" i="22"/>
  <c r="AC14" i="16"/>
  <c r="AB18" i="20"/>
  <c r="AB38" i="21"/>
  <c r="AB35" i="19"/>
  <c r="AB13" i="22"/>
  <c r="AC31" i="23"/>
  <c r="AC23" i="16"/>
  <c r="AB34" i="18"/>
  <c r="AC25" i="26"/>
  <c r="AC11" i="19"/>
  <c r="AC32" i="16"/>
  <c r="AC25" i="17"/>
  <c r="AB28" i="19"/>
  <c r="AD28" i="19" s="1"/>
  <c r="AB11" i="20"/>
  <c r="AB36" i="24"/>
  <c r="AC38" i="24"/>
  <c r="AA39" i="19"/>
  <c r="AA23" i="21"/>
  <c r="AC13" i="24"/>
  <c r="AB34" i="19"/>
  <c r="AC24" i="17"/>
  <c r="AC25" i="23"/>
  <c r="AB29" i="24"/>
  <c r="AB32" i="23"/>
  <c r="AA12" i="17"/>
  <c r="AA30" i="26"/>
  <c r="AA24" i="23"/>
  <c r="AA13" i="20"/>
  <c r="AC24" i="16"/>
  <c r="AC26" i="22"/>
  <c r="AC35" i="16"/>
  <c r="AB14" i="25"/>
  <c r="AA16" i="20"/>
  <c r="AB28" i="25"/>
  <c r="AB28" i="24"/>
  <c r="AA33" i="16"/>
  <c r="AB25" i="24"/>
  <c r="AA35" i="25"/>
  <c r="AB15" i="18"/>
  <c r="AC21" i="23"/>
  <c r="AC27" i="22"/>
  <c r="AA37" i="23"/>
  <c r="AB21" i="20"/>
  <c r="AA13" i="18"/>
  <c r="AB12" i="20"/>
  <c r="AA39" i="24"/>
  <c r="AA34" i="20"/>
  <c r="AB27" i="22"/>
  <c r="AC23" i="18"/>
  <c r="AA31" i="16"/>
  <c r="AC27" i="19"/>
  <c r="AC13" i="16"/>
  <c r="AC28" i="24"/>
  <c r="AB18" i="18"/>
  <c r="AC11" i="21"/>
  <c r="AA29" i="21"/>
  <c r="AC12" i="26"/>
  <c r="AA39" i="21"/>
  <c r="AA25" i="18"/>
  <c r="AB23" i="24"/>
  <c r="AB34" i="22"/>
  <c r="AB18" i="24"/>
  <c r="AC23" i="26"/>
  <c r="AB13" i="17"/>
  <c r="M33" i="17"/>
  <c r="AA23" i="16"/>
  <c r="AB23" i="16"/>
  <c r="AB21" i="16"/>
  <c r="AL46" i="17"/>
  <c r="AL45" i="17"/>
  <c r="AB24" i="23"/>
  <c r="AB22" i="25"/>
  <c r="AB35" i="25"/>
  <c r="AA18" i="25"/>
  <c r="AB18" i="25"/>
  <c r="AA22" i="25"/>
  <c r="AL46" i="18"/>
  <c r="AC39" i="17"/>
  <c r="AL45" i="16"/>
  <c r="AA11" i="18"/>
  <c r="AL45" i="18"/>
  <c r="AL46" i="23"/>
  <c r="AL45" i="23"/>
  <c r="AL46" i="26"/>
  <c r="AL45" i="26"/>
  <c r="AA39" i="16"/>
  <c r="AL46" i="16"/>
  <c r="AC9" i="20"/>
  <c r="AL45" i="20"/>
  <c r="AL46" i="20"/>
  <c r="AL46" i="19"/>
  <c r="AL45" i="21"/>
  <c r="AL46" i="21"/>
  <c r="AL46" i="24"/>
  <c r="AL45" i="24"/>
  <c r="AB9" i="22"/>
  <c r="AL46" i="22"/>
  <c r="AL45" i="22"/>
  <c r="AL45" i="19"/>
  <c r="AL46" i="25"/>
  <c r="AL45" i="25"/>
  <c r="AC11" i="18"/>
  <c r="AB9" i="20"/>
  <c r="AA9" i="18"/>
  <c r="AC12" i="25"/>
  <c r="AC34" i="24"/>
  <c r="AA26" i="26"/>
  <c r="AB38" i="24"/>
  <c r="AB11" i="18"/>
  <c r="AC38" i="21"/>
  <c r="AB16" i="18"/>
  <c r="AB20" i="23"/>
  <c r="AB11" i="23"/>
  <c r="AA32" i="20"/>
  <c r="AC16" i="18"/>
  <c r="AC11" i="23"/>
  <c r="AB14" i="22"/>
  <c r="AC35" i="21"/>
  <c r="AC32" i="25"/>
  <c r="AC26" i="24"/>
  <c r="AA38" i="24"/>
  <c r="AA31" i="23"/>
  <c r="AA14" i="25"/>
  <c r="AC26" i="26"/>
  <c r="AB32" i="25"/>
  <c r="AC27" i="26"/>
  <c r="AC39" i="22"/>
  <c r="AB27" i="26"/>
  <c r="AB22" i="24"/>
  <c r="AD39" i="26"/>
  <c r="Z39" i="26" s="1"/>
  <c r="AI39" i="26" s="1"/>
  <c r="AC32" i="21"/>
  <c r="AB26" i="25"/>
  <c r="AA32" i="21"/>
  <c r="AA20" i="23"/>
  <c r="AB12" i="19"/>
  <c r="AA34" i="23"/>
  <c r="AB38" i="23"/>
  <c r="AC31" i="25"/>
  <c r="AB12" i="25"/>
  <c r="AB39" i="19"/>
  <c r="AA37" i="26"/>
  <c r="AA26" i="22"/>
  <c r="AA14" i="22"/>
  <c r="AB14" i="17"/>
  <c r="AA38" i="23"/>
  <c r="AB12" i="17"/>
  <c r="AA11" i="26"/>
  <c r="AD11" i="24"/>
  <c r="Z11" i="24" s="1"/>
  <c r="AI11" i="24" s="1"/>
  <c r="AC17" i="21"/>
  <c r="AB38" i="16"/>
  <c r="AB27" i="23"/>
  <c r="AC35" i="20"/>
  <c r="AA17" i="21"/>
  <c r="AC21" i="21"/>
  <c r="I9" i="17"/>
  <c r="N9" i="17"/>
  <c r="D9" i="17"/>
  <c r="I21" i="16"/>
  <c r="D21" i="16"/>
  <c r="I9" i="26"/>
  <c r="N9" i="26"/>
  <c r="D9" i="26"/>
  <c r="N9" i="22"/>
  <c r="I9" i="22"/>
  <c r="D9" i="22"/>
  <c r="D9" i="23"/>
  <c r="I9" i="23"/>
  <c r="N9" i="23"/>
  <c r="I9" i="20"/>
  <c r="D9" i="20"/>
  <c r="N9" i="20"/>
  <c r="AD34" i="26"/>
  <c r="Z34" i="26" s="1"/>
  <c r="AI34" i="26" s="1"/>
  <c r="D9" i="16"/>
  <c r="N9" i="16"/>
  <c r="I9" i="16"/>
  <c r="N9" i="24"/>
  <c r="I9" i="24"/>
  <c r="D9" i="24"/>
  <c r="D9" i="21"/>
  <c r="N9" i="21"/>
  <c r="I9" i="21"/>
  <c r="I9" i="18"/>
  <c r="N9" i="18"/>
  <c r="D9" i="18"/>
  <c r="AC30" i="22"/>
  <c r="AB23" i="19"/>
  <c r="AA39" i="18"/>
  <c r="AA18" i="26"/>
  <c r="AD18" i="26" s="1"/>
  <c r="AB39" i="18"/>
  <c r="AB35" i="20"/>
  <c r="AC26" i="18"/>
  <c r="AB20" i="18"/>
  <c r="AB39" i="25"/>
  <c r="AC25" i="21"/>
  <c r="AC37" i="26"/>
  <c r="AA26" i="18"/>
  <c r="AC20" i="18"/>
  <c r="AC19" i="20"/>
  <c r="AD19" i="20" s="1"/>
  <c r="AA13" i="25"/>
  <c r="AB22" i="16"/>
  <c r="D22" i="16"/>
  <c r="AC29" i="24"/>
  <c r="AC21" i="25"/>
  <c r="AC30" i="24"/>
  <c r="AD30" i="24" s="1"/>
  <c r="AB32" i="17"/>
  <c r="AC13" i="22"/>
  <c r="AB22" i="17"/>
  <c r="AB14" i="21"/>
  <c r="AC25" i="22"/>
  <c r="AC31" i="18"/>
  <c r="AC20" i="26"/>
  <c r="AA20" i="26"/>
  <c r="AA10" i="20"/>
  <c r="AB29" i="21"/>
  <c r="AD29" i="21" s="1"/>
  <c r="AA22" i="17"/>
  <c r="AA13" i="22"/>
  <c r="AB33" i="18"/>
  <c r="AB16" i="23"/>
  <c r="AA24" i="17"/>
  <c r="AC10" i="20"/>
  <c r="AD9" i="19"/>
  <c r="Z9" i="19" s="1"/>
  <c r="AI9" i="19" s="1"/>
  <c r="AA12" i="18"/>
  <c r="AC19" i="19"/>
  <c r="AA9" i="24"/>
  <c r="AL48" i="24"/>
  <c r="AL44" i="24"/>
  <c r="AL47" i="24"/>
  <c r="AL43" i="24"/>
  <c r="AC28" i="17"/>
  <c r="AC26" i="25"/>
  <c r="AB24" i="26"/>
  <c r="AB14" i="24"/>
  <c r="AC12" i="20"/>
  <c r="AA12" i="20"/>
  <c r="AC9" i="17"/>
  <c r="AL43" i="17"/>
  <c r="AC20" i="24"/>
  <c r="AL48" i="17"/>
  <c r="AC9" i="22"/>
  <c r="AL47" i="22"/>
  <c r="AL43" i="22"/>
  <c r="AL48" i="22"/>
  <c r="AL44" i="22"/>
  <c r="AL44" i="25"/>
  <c r="AB10" i="17"/>
  <c r="AL44" i="17"/>
  <c r="AB30" i="26"/>
  <c r="AA14" i="16"/>
  <c r="AC34" i="17"/>
  <c r="AB13" i="25"/>
  <c r="AB11" i="17"/>
  <c r="AC13" i="18"/>
  <c r="AL47" i="18"/>
  <c r="AB39" i="21"/>
  <c r="AD39" i="21" s="1"/>
  <c r="AL48" i="19"/>
  <c r="AL43" i="26"/>
  <c r="AL48" i="26"/>
  <c r="AL47" i="26"/>
  <c r="AL44" i="26"/>
  <c r="AA18" i="23"/>
  <c r="AB13" i="19"/>
  <c r="AB9" i="26"/>
  <c r="AC38" i="25"/>
  <c r="AA13" i="19"/>
  <c r="AA9" i="26"/>
  <c r="AL48" i="18"/>
  <c r="AL43" i="19"/>
  <c r="AL47" i="25"/>
  <c r="AA12" i="26"/>
  <c r="AC18" i="23"/>
  <c r="AB12" i="26"/>
  <c r="AA10" i="18"/>
  <c r="AL44" i="18"/>
  <c r="AB34" i="23"/>
  <c r="AL44" i="20"/>
  <c r="AL48" i="20"/>
  <c r="AL47" i="20"/>
  <c r="AL43" i="20"/>
  <c r="AB36" i="19"/>
  <c r="AC35" i="18"/>
  <c r="AA18" i="17"/>
  <c r="AL43" i="18"/>
  <c r="AL47" i="19"/>
  <c r="AL48" i="25"/>
  <c r="AC33" i="20"/>
  <c r="AA33" i="20"/>
  <c r="AA16" i="21"/>
  <c r="AB16" i="19"/>
  <c r="AD16" i="19" s="1"/>
  <c r="AC9" i="21"/>
  <c r="AL47" i="21"/>
  <c r="AL44" i="21"/>
  <c r="AL43" i="21"/>
  <c r="AL48" i="21"/>
  <c r="AA24" i="18"/>
  <c r="AC9" i="23"/>
  <c r="AL48" i="23"/>
  <c r="AL47" i="23"/>
  <c r="AL43" i="23"/>
  <c r="AL44" i="23"/>
  <c r="AA13" i="17"/>
  <c r="AL47" i="17"/>
  <c r="AL44" i="19"/>
  <c r="AL43" i="25"/>
  <c r="AB11" i="15"/>
  <c r="AC10" i="15"/>
  <c r="AB39" i="16"/>
  <c r="AB10" i="16"/>
  <c r="AL44" i="16"/>
  <c r="AL47" i="16"/>
  <c r="AA9" i="16"/>
  <c r="AL43" i="16"/>
  <c r="AB13" i="16"/>
  <c r="AA32" i="16"/>
  <c r="AA13" i="16"/>
  <c r="AB12" i="16"/>
  <c r="AA17" i="16"/>
  <c r="AL48" i="16"/>
  <c r="AB19" i="23"/>
  <c r="AC10" i="18"/>
  <c r="AB20" i="16"/>
  <c r="AC17" i="16"/>
  <c r="AB35" i="18"/>
  <c r="AM9" i="25"/>
  <c r="AC36" i="17"/>
  <c r="AC10" i="25"/>
  <c r="AL32" i="26"/>
  <c r="AD32" i="26"/>
  <c r="Z32" i="26" s="1"/>
  <c r="AI32" i="26" s="1"/>
  <c r="AB32" i="22"/>
  <c r="AB30" i="20"/>
  <c r="AB24" i="17"/>
  <c r="AB15" i="24"/>
  <c r="AC13" i="17"/>
  <c r="AB11" i="22"/>
  <c r="AC21" i="18"/>
  <c r="AA20" i="17"/>
  <c r="AA11" i="25"/>
  <c r="AC24" i="18"/>
  <c r="AC20" i="16"/>
  <c r="AA10" i="16"/>
  <c r="AC36" i="19"/>
  <c r="AC33" i="24"/>
  <c r="AC27" i="20"/>
  <c r="AC18" i="18"/>
  <c r="AB13" i="26"/>
  <c r="AA9" i="21"/>
  <c r="AB9" i="23"/>
  <c r="AC37" i="25"/>
  <c r="AB24" i="20"/>
  <c r="AC12" i="17"/>
  <c r="AC11" i="17"/>
  <c r="AA26" i="21"/>
  <c r="AC39" i="16"/>
  <c r="AA10" i="15"/>
  <c r="AB37" i="20"/>
  <c r="AA32" i="18"/>
  <c r="AA27" i="18"/>
  <c r="AA25" i="23"/>
  <c r="AC24" i="19"/>
  <c r="AA21" i="22"/>
  <c r="AC17" i="19"/>
  <c r="AC15" i="22"/>
  <c r="AC37" i="20"/>
  <c r="AB27" i="16"/>
  <c r="AB26" i="21"/>
  <c r="AC22" i="24"/>
  <c r="AB15" i="22"/>
  <c r="AA13" i="26"/>
  <c r="AB21" i="21"/>
  <c r="AA29" i="17"/>
  <c r="AA11" i="20"/>
  <c r="AC11" i="20"/>
  <c r="AC10" i="16"/>
  <c r="AM33" i="26"/>
  <c r="AB31" i="24"/>
  <c r="AC33" i="21"/>
  <c r="AC32" i="23"/>
  <c r="AA30" i="17"/>
  <c r="AC28" i="18"/>
  <c r="AC39" i="19"/>
  <c r="AA11" i="15"/>
  <c r="AM34" i="26"/>
  <c r="AA34" i="19"/>
  <c r="AA28" i="18"/>
  <c r="AA35" i="24"/>
  <c r="AD33" i="26"/>
  <c r="Z33" i="26" s="1"/>
  <c r="AI33" i="26" s="1"/>
  <c r="AB10" i="15"/>
  <c r="AL39" i="26"/>
  <c r="AA26" i="23"/>
  <c r="AA36" i="16"/>
  <c r="AB34" i="20"/>
  <c r="AC22" i="20"/>
  <c r="AA16" i="26"/>
  <c r="AC9" i="16"/>
  <c r="AB27" i="18"/>
  <c r="AA18" i="20"/>
  <c r="AB11" i="21"/>
  <c r="AC35" i="24"/>
  <c r="AC28" i="25"/>
  <c r="AL9" i="25"/>
  <c r="AA23" i="24"/>
  <c r="AA38" i="17"/>
  <c r="AC16" i="26"/>
  <c r="AA12" i="16"/>
  <c r="AC34" i="21"/>
  <c r="AC27" i="21"/>
  <c r="AC25" i="19"/>
  <c r="AB20" i="17"/>
  <c r="AC14" i="25"/>
  <c r="AM39" i="26"/>
  <c r="I31" i="17"/>
  <c r="D31" i="17"/>
  <c r="N31" i="17"/>
  <c r="M31" i="17"/>
  <c r="R31" i="17"/>
  <c r="Y31" i="17"/>
  <c r="H31" i="17"/>
  <c r="I35" i="17"/>
  <c r="D35" i="17"/>
  <c r="N35" i="17"/>
  <c r="Y35" i="17"/>
  <c r="M35" i="17"/>
  <c r="R35" i="17"/>
  <c r="H35" i="17"/>
  <c r="N35" i="26"/>
  <c r="I35" i="26"/>
  <c r="D35" i="26"/>
  <c r="M35" i="26"/>
  <c r="R35" i="26"/>
  <c r="Y35" i="26"/>
  <c r="H35" i="26"/>
  <c r="D31" i="26"/>
  <c r="N31" i="26"/>
  <c r="I31" i="26"/>
  <c r="M31" i="26"/>
  <c r="R31" i="26"/>
  <c r="Y31" i="26"/>
  <c r="H31" i="26"/>
  <c r="AB31" i="26"/>
  <c r="N31" i="19"/>
  <c r="I31" i="19"/>
  <c r="D31" i="19"/>
  <c r="R31" i="19"/>
  <c r="H31" i="19"/>
  <c r="Y31" i="19"/>
  <c r="M31" i="19"/>
  <c r="N29" i="18"/>
  <c r="I29" i="18"/>
  <c r="D29" i="18"/>
  <c r="R29" i="18"/>
  <c r="H29" i="18"/>
  <c r="Y29" i="18"/>
  <c r="M29" i="18"/>
  <c r="N29" i="25"/>
  <c r="I29" i="25"/>
  <c r="D29" i="25"/>
  <c r="Y29" i="25"/>
  <c r="H29" i="25"/>
  <c r="AK29" i="25" s="1"/>
  <c r="M29" i="25"/>
  <c r="R29" i="25"/>
  <c r="N28" i="20"/>
  <c r="I28" i="20"/>
  <c r="R28" i="20"/>
  <c r="D28" i="20"/>
  <c r="Y28" i="20"/>
  <c r="H28" i="20"/>
  <c r="M28" i="20"/>
  <c r="I26" i="20"/>
  <c r="N26" i="20"/>
  <c r="M26" i="20"/>
  <c r="D26" i="20"/>
  <c r="H26" i="20"/>
  <c r="R26" i="20"/>
  <c r="Y26" i="20"/>
  <c r="I25" i="17"/>
  <c r="D25" i="17"/>
  <c r="N25" i="17"/>
  <c r="M25" i="17"/>
  <c r="R25" i="17"/>
  <c r="Y25" i="17"/>
  <c r="H25" i="17"/>
  <c r="AC23" i="21"/>
  <c r="H23" i="25"/>
  <c r="R23" i="25"/>
  <c r="I23" i="25"/>
  <c r="D23" i="25"/>
  <c r="N23" i="25"/>
  <c r="Y23" i="25"/>
  <c r="M23" i="25"/>
  <c r="N20" i="22"/>
  <c r="D20" i="22"/>
  <c r="Y20" i="22"/>
  <c r="M20" i="22"/>
  <c r="I20" i="22"/>
  <c r="R20" i="22"/>
  <c r="H20" i="22"/>
  <c r="AD19" i="26"/>
  <c r="N19" i="25"/>
  <c r="Y19" i="25"/>
  <c r="I19" i="25"/>
  <c r="M19" i="25"/>
  <c r="H19" i="25"/>
  <c r="R19" i="25"/>
  <c r="D19" i="25"/>
  <c r="N17" i="23"/>
  <c r="D17" i="23"/>
  <c r="Y17" i="23"/>
  <c r="M17" i="23"/>
  <c r="I17" i="23"/>
  <c r="R17" i="23"/>
  <c r="H17" i="23"/>
  <c r="H18" i="21"/>
  <c r="R18" i="21"/>
  <c r="D18" i="21"/>
  <c r="N18" i="21"/>
  <c r="I18" i="21"/>
  <c r="Y18" i="21"/>
  <c r="M18" i="21"/>
  <c r="M17" i="20"/>
  <c r="I17" i="20"/>
  <c r="Y17" i="20"/>
  <c r="H17" i="20"/>
  <c r="N17" i="20"/>
  <c r="D17" i="20"/>
  <c r="R17" i="20"/>
  <c r="M15" i="16"/>
  <c r="R15" i="16"/>
  <c r="H15" i="16"/>
  <c r="AK15" i="16" s="1"/>
  <c r="Y15" i="16"/>
  <c r="D15" i="16"/>
  <c r="I15" i="16"/>
  <c r="N15" i="16"/>
  <c r="N14" i="23"/>
  <c r="I14" i="23"/>
  <c r="M14" i="23"/>
  <c r="Y14" i="23"/>
  <c r="H14" i="23"/>
  <c r="D14" i="23"/>
  <c r="R14" i="23"/>
  <c r="I12" i="23"/>
  <c r="R12" i="23"/>
  <c r="H12" i="23"/>
  <c r="N12" i="23"/>
  <c r="D12" i="23"/>
  <c r="Y12" i="23"/>
  <c r="M12" i="23"/>
  <c r="R10" i="26"/>
  <c r="H10" i="26"/>
  <c r="N10" i="26"/>
  <c r="D10" i="26"/>
  <c r="Y10" i="26"/>
  <c r="M10" i="26"/>
  <c r="I10" i="26"/>
  <c r="AA10" i="26"/>
  <c r="AB10" i="26"/>
  <c r="D39" i="20"/>
  <c r="N39" i="20"/>
  <c r="I39" i="20"/>
  <c r="M39" i="20"/>
  <c r="H39" i="20"/>
  <c r="Y39" i="20"/>
  <c r="R39" i="20"/>
  <c r="I39" i="17"/>
  <c r="D39" i="17"/>
  <c r="N39" i="17"/>
  <c r="M39" i="17"/>
  <c r="Y39" i="17"/>
  <c r="R39" i="17"/>
  <c r="H39" i="17"/>
  <c r="AB37" i="23"/>
  <c r="AD37" i="21"/>
  <c r="D36" i="17"/>
  <c r="R36" i="17"/>
  <c r="Y36" i="17"/>
  <c r="I36" i="17"/>
  <c r="N36" i="17"/>
  <c r="H36" i="17"/>
  <c r="M36" i="17"/>
  <c r="Y34" i="16"/>
  <c r="H34" i="16"/>
  <c r="I34" i="16"/>
  <c r="M34" i="16"/>
  <c r="N34" i="16"/>
  <c r="R34" i="16"/>
  <c r="D34" i="16"/>
  <c r="N33" i="19"/>
  <c r="D33" i="19"/>
  <c r="I33" i="19"/>
  <c r="R33" i="19"/>
  <c r="Y33" i="19"/>
  <c r="H33" i="19"/>
  <c r="M33" i="19"/>
  <c r="AB33" i="19"/>
  <c r="AC31" i="24"/>
  <c r="AA32" i="17"/>
  <c r="AC31" i="21"/>
  <c r="N30" i="26"/>
  <c r="Y30" i="26"/>
  <c r="H30" i="26"/>
  <c r="M30" i="26"/>
  <c r="I30" i="26"/>
  <c r="R30" i="26"/>
  <c r="D30" i="26"/>
  <c r="I29" i="26"/>
  <c r="D29" i="26"/>
  <c r="N29" i="26"/>
  <c r="R29" i="26"/>
  <c r="Y29" i="26"/>
  <c r="H29" i="26"/>
  <c r="M29" i="26"/>
  <c r="AB28" i="16"/>
  <c r="I28" i="16"/>
  <c r="Y28" i="16"/>
  <c r="H28" i="16"/>
  <c r="M28" i="16"/>
  <c r="N28" i="16"/>
  <c r="R28" i="16"/>
  <c r="D28" i="16"/>
  <c r="AB28" i="20"/>
  <c r="AA28" i="20"/>
  <c r="AC26" i="23"/>
  <c r="Y26" i="16"/>
  <c r="H26" i="16"/>
  <c r="AK26" i="16" s="1"/>
  <c r="D26" i="16"/>
  <c r="M26" i="16"/>
  <c r="N26" i="16"/>
  <c r="R26" i="16"/>
  <c r="I26" i="16"/>
  <c r="N25" i="26"/>
  <c r="I25" i="26"/>
  <c r="D25" i="26"/>
  <c r="R25" i="26"/>
  <c r="Y25" i="26"/>
  <c r="H25" i="26"/>
  <c r="M25" i="26"/>
  <c r="M24" i="22"/>
  <c r="I24" i="22"/>
  <c r="N24" i="22"/>
  <c r="R24" i="22"/>
  <c r="D24" i="22"/>
  <c r="Y24" i="22"/>
  <c r="H24" i="22"/>
  <c r="D23" i="26"/>
  <c r="N23" i="26"/>
  <c r="I23" i="26"/>
  <c r="M23" i="26"/>
  <c r="R23" i="26"/>
  <c r="Y23" i="26"/>
  <c r="H23" i="26"/>
  <c r="N19" i="22"/>
  <c r="D19" i="22"/>
  <c r="Y19" i="22"/>
  <c r="M19" i="22"/>
  <c r="I19" i="22"/>
  <c r="R19" i="22"/>
  <c r="H19" i="22"/>
  <c r="Y20" i="20"/>
  <c r="I20" i="20"/>
  <c r="H20" i="20"/>
  <c r="R20" i="20"/>
  <c r="M20" i="20"/>
  <c r="N20" i="20"/>
  <c r="D20" i="20"/>
  <c r="AC19" i="25"/>
  <c r="R18" i="16"/>
  <c r="I18" i="16"/>
  <c r="N18" i="16"/>
  <c r="H18" i="16"/>
  <c r="Y18" i="16"/>
  <c r="M18" i="16"/>
  <c r="D18" i="16"/>
  <c r="AC17" i="18"/>
  <c r="R16" i="16"/>
  <c r="M16" i="16"/>
  <c r="H16" i="16"/>
  <c r="D16" i="16"/>
  <c r="Y16" i="16"/>
  <c r="N16" i="16"/>
  <c r="I16" i="16"/>
  <c r="AC15" i="16"/>
  <c r="Y16" i="20"/>
  <c r="I16" i="20"/>
  <c r="H16" i="20"/>
  <c r="R16" i="20"/>
  <c r="M16" i="20"/>
  <c r="N16" i="20"/>
  <c r="D16" i="20"/>
  <c r="I15" i="17"/>
  <c r="N15" i="17"/>
  <c r="R15" i="17"/>
  <c r="H15" i="17"/>
  <c r="D15" i="17"/>
  <c r="Y15" i="17"/>
  <c r="M15" i="17"/>
  <c r="N15" i="21"/>
  <c r="M15" i="21"/>
  <c r="H15" i="21"/>
  <c r="D15" i="21"/>
  <c r="Y15" i="21"/>
  <c r="R15" i="21"/>
  <c r="I15" i="21"/>
  <c r="Y15" i="19"/>
  <c r="M15" i="19"/>
  <c r="I15" i="19"/>
  <c r="R15" i="19"/>
  <c r="N15" i="19"/>
  <c r="D15" i="19"/>
  <c r="H15" i="19"/>
  <c r="M14" i="20"/>
  <c r="I14" i="20"/>
  <c r="Y14" i="20"/>
  <c r="N14" i="20"/>
  <c r="D14" i="20"/>
  <c r="R14" i="20"/>
  <c r="H14" i="20"/>
  <c r="N12" i="22"/>
  <c r="D12" i="22"/>
  <c r="Y12" i="22"/>
  <c r="M12" i="22"/>
  <c r="I12" i="22"/>
  <c r="R12" i="22"/>
  <c r="H12" i="22"/>
  <c r="N10" i="22"/>
  <c r="D10" i="22"/>
  <c r="Y10" i="22"/>
  <c r="M10" i="22"/>
  <c r="I10" i="22"/>
  <c r="R10" i="22"/>
  <c r="H10" i="22"/>
  <c r="R9" i="24"/>
  <c r="H9" i="24"/>
  <c r="AK9" i="24" s="1"/>
  <c r="Y9" i="24"/>
  <c r="M9" i="24"/>
  <c r="N39" i="25"/>
  <c r="I39" i="25"/>
  <c r="D39" i="25"/>
  <c r="H39" i="25"/>
  <c r="Y39" i="25"/>
  <c r="R39" i="25"/>
  <c r="M39" i="25"/>
  <c r="N29" i="20"/>
  <c r="D29" i="20"/>
  <c r="I29" i="20"/>
  <c r="Y29" i="20"/>
  <c r="H29" i="20"/>
  <c r="M29" i="20"/>
  <c r="R29" i="20"/>
  <c r="AB26" i="16"/>
  <c r="AC25" i="18"/>
  <c r="D26" i="17"/>
  <c r="I26" i="17"/>
  <c r="R26" i="17"/>
  <c r="Y26" i="17"/>
  <c r="M26" i="17"/>
  <c r="H26" i="17"/>
  <c r="N26" i="17"/>
  <c r="AB25" i="18"/>
  <c r="AB25" i="19"/>
  <c r="D24" i="24"/>
  <c r="Y24" i="24"/>
  <c r="H24" i="24"/>
  <c r="N24" i="24"/>
  <c r="M24" i="24"/>
  <c r="I24" i="24"/>
  <c r="R24" i="24"/>
  <c r="AB23" i="26"/>
  <c r="AC23" i="24"/>
  <c r="R23" i="17"/>
  <c r="D23" i="17"/>
  <c r="N23" i="17"/>
  <c r="I23" i="17"/>
  <c r="H23" i="17"/>
  <c r="Y23" i="17"/>
  <c r="M23" i="17"/>
  <c r="AA21" i="24"/>
  <c r="AA20" i="20"/>
  <c r="AC20" i="21"/>
  <c r="AB19" i="25"/>
  <c r="AA18" i="21"/>
  <c r="R17" i="26"/>
  <c r="N17" i="26"/>
  <c r="D17" i="26"/>
  <c r="H17" i="26"/>
  <c r="Y17" i="26"/>
  <c r="I17" i="26"/>
  <c r="M17" i="26"/>
  <c r="AA17" i="20"/>
  <c r="I15" i="24"/>
  <c r="R15" i="24"/>
  <c r="H15" i="24"/>
  <c r="N15" i="24"/>
  <c r="D15" i="24"/>
  <c r="Y15" i="24"/>
  <c r="M15" i="24"/>
  <c r="AB16" i="17"/>
  <c r="I14" i="24"/>
  <c r="R14" i="24"/>
  <c r="H14" i="24"/>
  <c r="N14" i="24"/>
  <c r="D14" i="24"/>
  <c r="Y14" i="24"/>
  <c r="M14" i="24"/>
  <c r="N14" i="26"/>
  <c r="H14" i="26"/>
  <c r="D14" i="26"/>
  <c r="R14" i="26"/>
  <c r="M14" i="26"/>
  <c r="I14" i="26"/>
  <c r="Y14" i="26"/>
  <c r="Y14" i="18"/>
  <c r="M14" i="18"/>
  <c r="I14" i="18"/>
  <c r="R14" i="18"/>
  <c r="H14" i="18"/>
  <c r="N14" i="18"/>
  <c r="D14" i="18"/>
  <c r="Y14" i="17"/>
  <c r="M14" i="17"/>
  <c r="H14" i="17"/>
  <c r="I14" i="17"/>
  <c r="R14" i="17"/>
  <c r="N14" i="17"/>
  <c r="D14" i="17"/>
  <c r="AC11" i="26"/>
  <c r="R12" i="19"/>
  <c r="H12" i="19"/>
  <c r="N12" i="19"/>
  <c r="D12" i="19"/>
  <c r="Y12" i="19"/>
  <c r="M12" i="19"/>
  <c r="I12" i="19"/>
  <c r="Y10" i="18"/>
  <c r="M10" i="18"/>
  <c r="I10" i="18"/>
  <c r="R10" i="18"/>
  <c r="H10" i="18"/>
  <c r="N10" i="18"/>
  <c r="D10" i="18"/>
  <c r="AB9" i="17"/>
  <c r="R9" i="26"/>
  <c r="H9" i="26"/>
  <c r="Y9" i="26"/>
  <c r="M9" i="26"/>
  <c r="D39" i="23"/>
  <c r="N39" i="23"/>
  <c r="I39" i="23"/>
  <c r="M39" i="23"/>
  <c r="H39" i="23"/>
  <c r="Y39" i="23"/>
  <c r="R39" i="23"/>
  <c r="AC29" i="25"/>
  <c r="AB38" i="18"/>
  <c r="AA39" i="17"/>
  <c r="N37" i="24"/>
  <c r="D37" i="24"/>
  <c r="I37" i="24"/>
  <c r="Y37" i="24"/>
  <c r="H37" i="24"/>
  <c r="M37" i="24"/>
  <c r="R37" i="24"/>
  <c r="AA36" i="24"/>
  <c r="M36" i="23"/>
  <c r="D36" i="23"/>
  <c r="R36" i="23"/>
  <c r="Y36" i="23"/>
  <c r="H36" i="23"/>
  <c r="I36" i="23"/>
  <c r="N36" i="23"/>
  <c r="Y34" i="18"/>
  <c r="H34" i="18"/>
  <c r="N34" i="18"/>
  <c r="M34" i="18"/>
  <c r="R34" i="18"/>
  <c r="I34" i="18"/>
  <c r="D34" i="18"/>
  <c r="Y34" i="25"/>
  <c r="H34" i="25"/>
  <c r="N34" i="25"/>
  <c r="M34" i="25"/>
  <c r="I34" i="25"/>
  <c r="R34" i="25"/>
  <c r="D34" i="25"/>
  <c r="N32" i="21"/>
  <c r="M32" i="21"/>
  <c r="I32" i="21"/>
  <c r="R32" i="21"/>
  <c r="D32" i="21"/>
  <c r="Y32" i="21"/>
  <c r="H32" i="21"/>
  <c r="AB31" i="19"/>
  <c r="AB30" i="21"/>
  <c r="AC30" i="21"/>
  <c r="I29" i="21"/>
  <c r="R29" i="21"/>
  <c r="Y29" i="21"/>
  <c r="H29" i="21"/>
  <c r="M29" i="21"/>
  <c r="N29" i="21"/>
  <c r="D29" i="21"/>
  <c r="AB29" i="25"/>
  <c r="AC28" i="22"/>
  <c r="I27" i="26"/>
  <c r="D27" i="26"/>
  <c r="N27" i="26"/>
  <c r="M27" i="26"/>
  <c r="R27" i="26"/>
  <c r="Y27" i="26"/>
  <c r="H27" i="26"/>
  <c r="N26" i="26"/>
  <c r="R26" i="26"/>
  <c r="D26" i="26"/>
  <c r="Y26" i="26"/>
  <c r="H26" i="26"/>
  <c r="M26" i="26"/>
  <c r="I26" i="26"/>
  <c r="I25" i="20"/>
  <c r="D25" i="20"/>
  <c r="Y25" i="20"/>
  <c r="H25" i="20"/>
  <c r="M25" i="20"/>
  <c r="N25" i="20"/>
  <c r="R25" i="20"/>
  <c r="AB23" i="18"/>
  <c r="D22" i="25"/>
  <c r="M22" i="25"/>
  <c r="Y22" i="25"/>
  <c r="H22" i="25"/>
  <c r="N22" i="25"/>
  <c r="I22" i="25"/>
  <c r="R22" i="25"/>
  <c r="Y21" i="25"/>
  <c r="I21" i="25"/>
  <c r="N21" i="25"/>
  <c r="M21" i="25"/>
  <c r="D21" i="25"/>
  <c r="R21" i="25"/>
  <c r="H21" i="25"/>
  <c r="AB21" i="25"/>
  <c r="AA19" i="23"/>
  <c r="AC18" i="21"/>
  <c r="D17" i="25"/>
  <c r="M17" i="25"/>
  <c r="Y17" i="25"/>
  <c r="I17" i="25"/>
  <c r="N17" i="25"/>
  <c r="H17" i="25"/>
  <c r="R17" i="25"/>
  <c r="AA15" i="18"/>
  <c r="AA15" i="16"/>
  <c r="Y16" i="19"/>
  <c r="M16" i="19"/>
  <c r="I16" i="19"/>
  <c r="R16" i="19"/>
  <c r="H16" i="19"/>
  <c r="AK16" i="19" s="1"/>
  <c r="N16" i="19"/>
  <c r="D16" i="19"/>
  <c r="AB15" i="17"/>
  <c r="AA12" i="23"/>
  <c r="AA12" i="21"/>
  <c r="R10" i="19"/>
  <c r="H10" i="19"/>
  <c r="N10" i="19"/>
  <c r="D10" i="19"/>
  <c r="Y10" i="19"/>
  <c r="M10" i="19"/>
  <c r="I10" i="19"/>
  <c r="AA10" i="19"/>
  <c r="AB10" i="19"/>
  <c r="Y38" i="16"/>
  <c r="H38" i="16"/>
  <c r="M38" i="16"/>
  <c r="N38" i="16"/>
  <c r="I38" i="16"/>
  <c r="R38" i="16"/>
  <c r="D38" i="16"/>
  <c r="N31" i="25"/>
  <c r="D31" i="25"/>
  <c r="I31" i="25"/>
  <c r="R31" i="25"/>
  <c r="M31" i="25"/>
  <c r="H31" i="25"/>
  <c r="Y31" i="25"/>
  <c r="AB33" i="16"/>
  <c r="I33" i="16"/>
  <c r="N33" i="16"/>
  <c r="R33" i="16"/>
  <c r="D33" i="16"/>
  <c r="Y33" i="16"/>
  <c r="H33" i="16"/>
  <c r="M33" i="16"/>
  <c r="N35" i="21"/>
  <c r="I35" i="21"/>
  <c r="D35" i="21"/>
  <c r="R35" i="21"/>
  <c r="H35" i="21"/>
  <c r="Y35" i="21"/>
  <c r="M35" i="21"/>
  <c r="AK35" i="21" s="1"/>
  <c r="AA34" i="18"/>
  <c r="AC37" i="24"/>
  <c r="AA33" i="21"/>
  <c r="N35" i="23"/>
  <c r="I35" i="23"/>
  <c r="D35" i="23"/>
  <c r="R35" i="23"/>
  <c r="Y35" i="23"/>
  <c r="H35" i="23"/>
  <c r="M35" i="23"/>
  <c r="AA31" i="19"/>
  <c r="I35" i="16"/>
  <c r="N35" i="16"/>
  <c r="R35" i="16"/>
  <c r="D35" i="16"/>
  <c r="Y35" i="16"/>
  <c r="M35" i="16"/>
  <c r="H35" i="16"/>
  <c r="Y36" i="26"/>
  <c r="H36" i="26"/>
  <c r="D36" i="26"/>
  <c r="M36" i="26"/>
  <c r="N36" i="26"/>
  <c r="R36" i="26"/>
  <c r="I36" i="26"/>
  <c r="N37" i="22"/>
  <c r="I37" i="22"/>
  <c r="D37" i="22"/>
  <c r="Y37" i="22"/>
  <c r="H37" i="22"/>
  <c r="M37" i="22"/>
  <c r="R37" i="22"/>
  <c r="AA38" i="18"/>
  <c r="AB35" i="17"/>
  <c r="AA37" i="22"/>
  <c r="AL9" i="19"/>
  <c r="AL11" i="24"/>
  <c r="H10" i="21"/>
  <c r="R10" i="21"/>
  <c r="M10" i="21"/>
  <c r="Y10" i="21"/>
  <c r="I10" i="21"/>
  <c r="D10" i="21"/>
  <c r="N10" i="21"/>
  <c r="AA10" i="21"/>
  <c r="AB10" i="21"/>
  <c r="AC10" i="21"/>
  <c r="R38" i="26"/>
  <c r="I38" i="26"/>
  <c r="Y38" i="26"/>
  <c r="H38" i="26"/>
  <c r="D38" i="26"/>
  <c r="M38" i="26"/>
  <c r="N38" i="26"/>
  <c r="N37" i="23"/>
  <c r="I37" i="23"/>
  <c r="D37" i="23"/>
  <c r="R37" i="23"/>
  <c r="Y37" i="23"/>
  <c r="H37" i="23"/>
  <c r="M37" i="23"/>
  <c r="N37" i="19"/>
  <c r="I37" i="19"/>
  <c r="D37" i="19"/>
  <c r="R37" i="19"/>
  <c r="Y37" i="19"/>
  <c r="M37" i="19"/>
  <c r="H37" i="19"/>
  <c r="N35" i="22"/>
  <c r="I35" i="22"/>
  <c r="D35" i="22"/>
  <c r="Y35" i="22"/>
  <c r="H35" i="22"/>
  <c r="M35" i="22"/>
  <c r="R35" i="22"/>
  <c r="AC35" i="17"/>
  <c r="M32" i="25"/>
  <c r="I32" i="25"/>
  <c r="R32" i="25"/>
  <c r="D32" i="25"/>
  <c r="Y32" i="25"/>
  <c r="H32" i="25"/>
  <c r="N32" i="25"/>
  <c r="M30" i="18"/>
  <c r="D30" i="18"/>
  <c r="Y30" i="18"/>
  <c r="I30" i="18"/>
  <c r="R30" i="18"/>
  <c r="N30" i="18"/>
  <c r="H30" i="18"/>
  <c r="AA29" i="18"/>
  <c r="M28" i="26"/>
  <c r="I28" i="26"/>
  <c r="R28" i="26"/>
  <c r="D28" i="26"/>
  <c r="N28" i="26"/>
  <c r="Y28" i="26"/>
  <c r="H28" i="26"/>
  <c r="I27" i="17"/>
  <c r="D27" i="17"/>
  <c r="N27" i="17"/>
  <c r="M27" i="17"/>
  <c r="Y27" i="17"/>
  <c r="R27" i="17"/>
  <c r="H27" i="17"/>
  <c r="N25" i="25"/>
  <c r="I25" i="25"/>
  <c r="D25" i="25"/>
  <c r="Y25" i="25"/>
  <c r="H25" i="25"/>
  <c r="M25" i="25"/>
  <c r="R25" i="25"/>
  <c r="N23" i="23"/>
  <c r="D23" i="23"/>
  <c r="I23" i="23"/>
  <c r="R23" i="23"/>
  <c r="Y23" i="23"/>
  <c r="H23" i="23"/>
  <c r="M23" i="23"/>
  <c r="AB23" i="21"/>
  <c r="R21" i="16"/>
  <c r="M21" i="16"/>
  <c r="Y21" i="16"/>
  <c r="N21" i="16"/>
  <c r="M21" i="20"/>
  <c r="I21" i="20"/>
  <c r="Y21" i="20"/>
  <c r="H21" i="20"/>
  <c r="N21" i="20"/>
  <c r="R21" i="20"/>
  <c r="D21" i="20"/>
  <c r="AD19" i="17"/>
  <c r="N19" i="21"/>
  <c r="H19" i="21"/>
  <c r="Y19" i="21"/>
  <c r="D19" i="21"/>
  <c r="I19" i="21"/>
  <c r="M19" i="21"/>
  <c r="R19" i="21"/>
  <c r="N16" i="23"/>
  <c r="D16" i="23"/>
  <c r="Y16" i="23"/>
  <c r="M16" i="23"/>
  <c r="I16" i="23"/>
  <c r="R16" i="23"/>
  <c r="H16" i="23"/>
  <c r="AK16" i="23" s="1"/>
  <c r="AA16" i="23"/>
  <c r="N15" i="23"/>
  <c r="D15" i="23"/>
  <c r="Y15" i="23"/>
  <c r="M15" i="23"/>
  <c r="I15" i="23"/>
  <c r="R15" i="23"/>
  <c r="H15" i="23"/>
  <c r="AK15" i="23" s="1"/>
  <c r="D16" i="25"/>
  <c r="I16" i="25"/>
  <c r="Y16" i="25"/>
  <c r="N16" i="25"/>
  <c r="R16" i="25"/>
  <c r="M16" i="25"/>
  <c r="H16" i="25"/>
  <c r="AA15" i="25"/>
  <c r="I11" i="16"/>
  <c r="N11" i="16"/>
  <c r="M11" i="16"/>
  <c r="Y11" i="16"/>
  <c r="H11" i="16"/>
  <c r="D11" i="16"/>
  <c r="R11" i="16"/>
  <c r="I11" i="20"/>
  <c r="Y11" i="20"/>
  <c r="N11" i="20"/>
  <c r="D11" i="20"/>
  <c r="M11" i="20"/>
  <c r="H11" i="20"/>
  <c r="R11" i="20"/>
  <c r="AA27" i="17"/>
  <c r="N27" i="25"/>
  <c r="D27" i="25"/>
  <c r="I27" i="25"/>
  <c r="R27" i="25"/>
  <c r="Y27" i="25"/>
  <c r="H27" i="25"/>
  <c r="M27" i="25"/>
  <c r="AC26" i="20"/>
  <c r="N25" i="24"/>
  <c r="I25" i="24"/>
  <c r="D25" i="24"/>
  <c r="Y25" i="24"/>
  <c r="H25" i="24"/>
  <c r="M25" i="24"/>
  <c r="R25" i="24"/>
  <c r="AB25" i="23"/>
  <c r="AB25" i="25"/>
  <c r="AA23" i="26"/>
  <c r="Y22" i="18"/>
  <c r="M22" i="18"/>
  <c r="I22" i="18"/>
  <c r="R22" i="18"/>
  <c r="H22" i="18"/>
  <c r="N22" i="18"/>
  <c r="D22" i="18"/>
  <c r="N21" i="22"/>
  <c r="D21" i="22"/>
  <c r="Y21" i="22"/>
  <c r="M21" i="22"/>
  <c r="I21" i="22"/>
  <c r="R21" i="22"/>
  <c r="H21" i="22"/>
  <c r="AA21" i="19"/>
  <c r="AC19" i="22"/>
  <c r="AC20" i="20"/>
  <c r="M19" i="16"/>
  <c r="R19" i="16"/>
  <c r="Y19" i="16"/>
  <c r="D19" i="16"/>
  <c r="I19" i="16"/>
  <c r="N19" i="16"/>
  <c r="H19" i="16"/>
  <c r="AA18" i="24"/>
  <c r="N19" i="17"/>
  <c r="D19" i="17"/>
  <c r="Y19" i="17"/>
  <c r="M19" i="17"/>
  <c r="I19" i="17"/>
  <c r="R19" i="17"/>
  <c r="H19" i="17"/>
  <c r="Y18" i="18"/>
  <c r="M18" i="18"/>
  <c r="I18" i="18"/>
  <c r="R18" i="18"/>
  <c r="H18" i="18"/>
  <c r="N18" i="18"/>
  <c r="D18" i="18"/>
  <c r="N18" i="17"/>
  <c r="D18" i="17"/>
  <c r="Y18" i="17"/>
  <c r="M18" i="17"/>
  <c r="I18" i="17"/>
  <c r="R18" i="17"/>
  <c r="H18" i="17"/>
  <c r="AK18" i="17" s="1"/>
  <c r="AB17" i="20"/>
  <c r="AB15" i="16"/>
  <c r="AC14" i="23"/>
  <c r="AC15" i="17"/>
  <c r="N14" i="21"/>
  <c r="D14" i="21"/>
  <c r="M14" i="21"/>
  <c r="I14" i="21"/>
  <c r="R14" i="21"/>
  <c r="H14" i="21"/>
  <c r="AK14" i="21" s="1"/>
  <c r="Y14" i="21"/>
  <c r="AB12" i="23"/>
  <c r="I12" i="20"/>
  <c r="M12" i="20"/>
  <c r="N12" i="20"/>
  <c r="D12" i="20"/>
  <c r="H12" i="20"/>
  <c r="Y12" i="20"/>
  <c r="R12" i="20"/>
  <c r="M11" i="21"/>
  <c r="Y11" i="21"/>
  <c r="I11" i="21"/>
  <c r="H11" i="21"/>
  <c r="R11" i="21"/>
  <c r="D11" i="21"/>
  <c r="N11" i="21"/>
  <c r="AA11" i="21"/>
  <c r="R9" i="23"/>
  <c r="H9" i="23"/>
  <c r="Y9" i="23"/>
  <c r="M9" i="23"/>
  <c r="Y9" i="22"/>
  <c r="M9" i="22"/>
  <c r="R9" i="22"/>
  <c r="H9" i="22"/>
  <c r="AB39" i="17"/>
  <c r="AB37" i="24"/>
  <c r="M38" i="19"/>
  <c r="N38" i="19"/>
  <c r="R38" i="19"/>
  <c r="H38" i="19"/>
  <c r="D38" i="19"/>
  <c r="I38" i="19"/>
  <c r="Y38" i="19"/>
  <c r="R36" i="25"/>
  <c r="I36" i="25"/>
  <c r="Y36" i="25"/>
  <c r="H36" i="25"/>
  <c r="D36" i="25"/>
  <c r="M36" i="25"/>
  <c r="N36" i="25"/>
  <c r="AA34" i="22"/>
  <c r="Y34" i="24"/>
  <c r="H34" i="24"/>
  <c r="D34" i="24"/>
  <c r="M34" i="24"/>
  <c r="I34" i="24"/>
  <c r="N34" i="24"/>
  <c r="R34" i="24"/>
  <c r="AA34" i="25"/>
  <c r="AD34" i="25" s="1"/>
  <c r="N33" i="22"/>
  <c r="I33" i="22"/>
  <c r="D33" i="22"/>
  <c r="Y33" i="22"/>
  <c r="H33" i="22"/>
  <c r="M33" i="22"/>
  <c r="R33" i="22"/>
  <c r="I33" i="17"/>
  <c r="D33" i="17"/>
  <c r="N33" i="17"/>
  <c r="H33" i="17"/>
  <c r="Y33" i="17"/>
  <c r="AC33" i="19"/>
  <c r="AB33" i="17"/>
  <c r="N32" i="20"/>
  <c r="M32" i="20"/>
  <c r="I32" i="20"/>
  <c r="R32" i="20"/>
  <c r="D32" i="20"/>
  <c r="Y32" i="20"/>
  <c r="H32" i="20"/>
  <c r="AK32" i="20" s="1"/>
  <c r="AB31" i="17"/>
  <c r="Y30" i="24"/>
  <c r="H30" i="24"/>
  <c r="M30" i="24"/>
  <c r="I30" i="24"/>
  <c r="D30" i="24"/>
  <c r="R30" i="24"/>
  <c r="N30" i="24"/>
  <c r="AA29" i="24"/>
  <c r="AC29" i="20"/>
  <c r="N27" i="22"/>
  <c r="I27" i="22"/>
  <c r="D27" i="22"/>
  <c r="Y27" i="22"/>
  <c r="H27" i="22"/>
  <c r="M27" i="22"/>
  <c r="R27" i="22"/>
  <c r="R26" i="25"/>
  <c r="D26" i="25"/>
  <c r="Y26" i="25"/>
  <c r="H26" i="25"/>
  <c r="N26" i="25"/>
  <c r="M26" i="25"/>
  <c r="I26" i="25"/>
  <c r="AA26" i="17"/>
  <c r="AD26" i="17" s="1"/>
  <c r="AA25" i="17"/>
  <c r="AB25" i="17"/>
  <c r="AB24" i="16"/>
  <c r="AD24" i="16" s="1"/>
  <c r="I24" i="16"/>
  <c r="Y24" i="16"/>
  <c r="H24" i="16"/>
  <c r="M24" i="16"/>
  <c r="N24" i="16"/>
  <c r="R24" i="16"/>
  <c r="D24" i="16"/>
  <c r="AA23" i="18"/>
  <c r="Y24" i="17"/>
  <c r="H24" i="17"/>
  <c r="I24" i="17"/>
  <c r="M24" i="17"/>
  <c r="D24" i="17"/>
  <c r="N24" i="17"/>
  <c r="R24" i="17"/>
  <c r="AC23" i="17"/>
  <c r="D22" i="26"/>
  <c r="R22" i="26"/>
  <c r="N22" i="26"/>
  <c r="H22" i="26"/>
  <c r="M22" i="26"/>
  <c r="I22" i="26"/>
  <c r="Y22" i="26"/>
  <c r="AA21" i="16"/>
  <c r="Y21" i="18"/>
  <c r="M21" i="18"/>
  <c r="I21" i="18"/>
  <c r="R21" i="18"/>
  <c r="H21" i="18"/>
  <c r="N21" i="18"/>
  <c r="D21" i="18"/>
  <c r="AB21" i="19"/>
  <c r="H21" i="21"/>
  <c r="N21" i="21"/>
  <c r="I21" i="21"/>
  <c r="Y21" i="21"/>
  <c r="D21" i="21"/>
  <c r="M21" i="21"/>
  <c r="R21" i="21"/>
  <c r="AB19" i="22"/>
  <c r="D18" i="26"/>
  <c r="R18" i="26"/>
  <c r="N18" i="26"/>
  <c r="H18" i="26"/>
  <c r="I18" i="26"/>
  <c r="Y18" i="26"/>
  <c r="M18" i="26"/>
  <c r="M18" i="25"/>
  <c r="D18" i="25"/>
  <c r="I18" i="25"/>
  <c r="Y18" i="25"/>
  <c r="N18" i="25"/>
  <c r="R18" i="25"/>
  <c r="H18" i="25"/>
  <c r="AA17" i="23"/>
  <c r="N17" i="21"/>
  <c r="H17" i="21"/>
  <c r="R17" i="21"/>
  <c r="I17" i="21"/>
  <c r="Y17" i="21"/>
  <c r="M17" i="21"/>
  <c r="D17" i="21"/>
  <c r="AB16" i="20"/>
  <c r="N15" i="22"/>
  <c r="D15" i="22"/>
  <c r="Y15" i="22"/>
  <c r="M15" i="22"/>
  <c r="I15" i="22"/>
  <c r="R15" i="22"/>
  <c r="H15" i="22"/>
  <c r="AC15" i="21"/>
  <c r="AB15" i="19"/>
  <c r="AB14" i="20"/>
  <c r="I13" i="16"/>
  <c r="Y13" i="16"/>
  <c r="N13" i="16"/>
  <c r="H13" i="16"/>
  <c r="R13" i="16"/>
  <c r="M13" i="16"/>
  <c r="D13" i="16"/>
  <c r="AB12" i="22"/>
  <c r="N12" i="26"/>
  <c r="Y12" i="26"/>
  <c r="H12" i="26"/>
  <c r="I12" i="26"/>
  <c r="D12" i="26"/>
  <c r="M12" i="26"/>
  <c r="R12" i="26"/>
  <c r="I10" i="20"/>
  <c r="N10" i="20"/>
  <c r="Y10" i="20"/>
  <c r="M10" i="20"/>
  <c r="D10" i="20"/>
  <c r="R10" i="20"/>
  <c r="H10" i="20"/>
  <c r="Y9" i="20"/>
  <c r="M9" i="20"/>
  <c r="H9" i="20"/>
  <c r="R9" i="20"/>
  <c r="AB9" i="21"/>
  <c r="AC38" i="16"/>
  <c r="N39" i="16"/>
  <c r="D39" i="16"/>
  <c r="I39" i="16"/>
  <c r="R39" i="16"/>
  <c r="Y39" i="16"/>
  <c r="H39" i="16"/>
  <c r="M39" i="16"/>
  <c r="AC31" i="19"/>
  <c r="AB35" i="16"/>
  <c r="AC35" i="23"/>
  <c r="AB37" i="22"/>
  <c r="R38" i="22"/>
  <c r="N38" i="22"/>
  <c r="Y38" i="22"/>
  <c r="H38" i="22"/>
  <c r="D38" i="22"/>
  <c r="I38" i="22"/>
  <c r="M38" i="22"/>
  <c r="AB39" i="24"/>
  <c r="R32" i="18"/>
  <c r="Y32" i="18"/>
  <c r="H32" i="18"/>
  <c r="M32" i="18"/>
  <c r="D32" i="18"/>
  <c r="I32" i="18"/>
  <c r="N32" i="18"/>
  <c r="N36" i="21"/>
  <c r="R36" i="21"/>
  <c r="D36" i="21"/>
  <c r="Y36" i="21"/>
  <c r="H36" i="21"/>
  <c r="M36" i="21"/>
  <c r="I36" i="21"/>
  <c r="AC35" i="26"/>
  <c r="N37" i="18"/>
  <c r="I37" i="18"/>
  <c r="D37" i="18"/>
  <c r="R37" i="18"/>
  <c r="H37" i="18"/>
  <c r="Y37" i="18"/>
  <c r="M37" i="18"/>
  <c r="D32" i="19"/>
  <c r="R32" i="19"/>
  <c r="N32" i="19"/>
  <c r="H32" i="19"/>
  <c r="Y32" i="19"/>
  <c r="I32" i="19"/>
  <c r="M32" i="19"/>
  <c r="N29" i="22"/>
  <c r="I29" i="22"/>
  <c r="D29" i="22"/>
  <c r="Y29" i="22"/>
  <c r="H29" i="22"/>
  <c r="M29" i="22"/>
  <c r="R29" i="22"/>
  <c r="N31" i="23"/>
  <c r="D31" i="23"/>
  <c r="I31" i="23"/>
  <c r="R31" i="23"/>
  <c r="Y31" i="23"/>
  <c r="H31" i="23"/>
  <c r="M31" i="23"/>
  <c r="AB36" i="17"/>
  <c r="AC36" i="26"/>
  <c r="AC38" i="19"/>
  <c r="R38" i="21"/>
  <c r="I38" i="21"/>
  <c r="Y38" i="21"/>
  <c r="H38" i="21"/>
  <c r="D38" i="21"/>
  <c r="M38" i="21"/>
  <c r="N38" i="21"/>
  <c r="AA38" i="21"/>
  <c r="AD38" i="21" s="1"/>
  <c r="N33" i="23"/>
  <c r="I33" i="23"/>
  <c r="D33" i="23"/>
  <c r="R33" i="23"/>
  <c r="Y33" i="23"/>
  <c r="H33" i="23"/>
  <c r="M33" i="23"/>
  <c r="I30" i="25"/>
  <c r="R30" i="25"/>
  <c r="D30" i="25"/>
  <c r="Y30" i="25"/>
  <c r="H30" i="25"/>
  <c r="AK30" i="25" s="1"/>
  <c r="N30" i="25"/>
  <c r="M30" i="25"/>
  <c r="AB29" i="16"/>
  <c r="I29" i="16"/>
  <c r="R29" i="16"/>
  <c r="Y29" i="16"/>
  <c r="H29" i="16"/>
  <c r="N29" i="16"/>
  <c r="M29" i="16"/>
  <c r="D29" i="16"/>
  <c r="Y22" i="19"/>
  <c r="M22" i="19"/>
  <c r="I22" i="19"/>
  <c r="R22" i="19"/>
  <c r="H22" i="19"/>
  <c r="N22" i="19"/>
  <c r="D22" i="19"/>
  <c r="N18" i="22"/>
  <c r="D18" i="22"/>
  <c r="Y18" i="22"/>
  <c r="M18" i="22"/>
  <c r="I18" i="22"/>
  <c r="R18" i="22"/>
  <c r="H18" i="22"/>
  <c r="N17" i="22"/>
  <c r="D17" i="22"/>
  <c r="Y17" i="22"/>
  <c r="M17" i="22"/>
  <c r="I17" i="22"/>
  <c r="R17" i="22"/>
  <c r="H17" i="22"/>
  <c r="Y17" i="18"/>
  <c r="M17" i="18"/>
  <c r="I17" i="18"/>
  <c r="R17" i="18"/>
  <c r="H17" i="18"/>
  <c r="N17" i="18"/>
  <c r="D17" i="18"/>
  <c r="I16" i="24"/>
  <c r="R16" i="24"/>
  <c r="H16" i="24"/>
  <c r="N16" i="24"/>
  <c r="D16" i="24"/>
  <c r="Y16" i="24"/>
  <c r="M16" i="24"/>
  <c r="M15" i="25"/>
  <c r="N15" i="25"/>
  <c r="I15" i="25"/>
  <c r="Y15" i="25"/>
  <c r="R15" i="25"/>
  <c r="H15" i="25"/>
  <c r="D15" i="25"/>
  <c r="D15" i="20"/>
  <c r="R15" i="20"/>
  <c r="M15" i="20"/>
  <c r="H15" i="20"/>
  <c r="AK15" i="20" s="1"/>
  <c r="I15" i="20"/>
  <c r="N15" i="20"/>
  <c r="Y15" i="20"/>
  <c r="H12" i="21"/>
  <c r="R12" i="21"/>
  <c r="M12" i="21"/>
  <c r="Y12" i="21"/>
  <c r="I12" i="21"/>
  <c r="D12" i="21"/>
  <c r="N12" i="21"/>
  <c r="AD9" i="25"/>
  <c r="AL33" i="26"/>
  <c r="AM32" i="26"/>
  <c r="AC29" i="18"/>
  <c r="R36" i="24"/>
  <c r="I36" i="24"/>
  <c r="D36" i="24"/>
  <c r="Y36" i="24"/>
  <c r="H36" i="24"/>
  <c r="N36" i="24"/>
  <c r="M36" i="24"/>
  <c r="N34" i="21"/>
  <c r="Y34" i="21"/>
  <c r="H34" i="21"/>
  <c r="M34" i="21"/>
  <c r="I34" i="21"/>
  <c r="R34" i="21"/>
  <c r="D34" i="21"/>
  <c r="N31" i="21"/>
  <c r="I31" i="21"/>
  <c r="D31" i="21"/>
  <c r="R31" i="21"/>
  <c r="Y31" i="21"/>
  <c r="M31" i="21"/>
  <c r="H31" i="21"/>
  <c r="I30" i="17"/>
  <c r="R30" i="17"/>
  <c r="H30" i="17"/>
  <c r="N30" i="17"/>
  <c r="D30" i="17"/>
  <c r="Y30" i="17"/>
  <c r="M30" i="17"/>
  <c r="R28" i="22"/>
  <c r="D28" i="22"/>
  <c r="Y28" i="22"/>
  <c r="H28" i="22"/>
  <c r="I28" i="22"/>
  <c r="M28" i="22"/>
  <c r="N28" i="22"/>
  <c r="I28" i="21"/>
  <c r="N28" i="21"/>
  <c r="Y28" i="21"/>
  <c r="H28" i="21"/>
  <c r="M28" i="21"/>
  <c r="D28" i="21"/>
  <c r="R28" i="21"/>
  <c r="M26" i="23"/>
  <c r="D26" i="23"/>
  <c r="R26" i="23"/>
  <c r="I26" i="23"/>
  <c r="N26" i="23"/>
  <c r="Y26" i="23"/>
  <c r="H26" i="23"/>
  <c r="N25" i="23"/>
  <c r="I25" i="23"/>
  <c r="D25" i="23"/>
  <c r="R25" i="23"/>
  <c r="Y25" i="23"/>
  <c r="H25" i="23"/>
  <c r="M25" i="23"/>
  <c r="AA25" i="25"/>
  <c r="M24" i="19"/>
  <c r="D24" i="19"/>
  <c r="N24" i="19"/>
  <c r="Y24" i="19"/>
  <c r="R24" i="19"/>
  <c r="H24" i="19"/>
  <c r="I24" i="19"/>
  <c r="N22" i="22"/>
  <c r="D22" i="22"/>
  <c r="Y22" i="22"/>
  <c r="M22" i="22"/>
  <c r="I22" i="22"/>
  <c r="R22" i="22"/>
  <c r="H22" i="22"/>
  <c r="R23" i="20"/>
  <c r="Y23" i="20"/>
  <c r="D23" i="20"/>
  <c r="N23" i="20"/>
  <c r="H23" i="20"/>
  <c r="M23" i="20"/>
  <c r="I23" i="20"/>
  <c r="AA22" i="19"/>
  <c r="AB20" i="22"/>
  <c r="AD20" i="25"/>
  <c r="Y19" i="18"/>
  <c r="M19" i="18"/>
  <c r="I19" i="18"/>
  <c r="R19" i="18"/>
  <c r="H19" i="18"/>
  <c r="N19" i="18"/>
  <c r="D19" i="18"/>
  <c r="I17" i="24"/>
  <c r="R17" i="24"/>
  <c r="H17" i="24"/>
  <c r="N17" i="24"/>
  <c r="D17" i="24"/>
  <c r="Y17" i="24"/>
  <c r="M17" i="24"/>
  <c r="AB17" i="23"/>
  <c r="Y17" i="19"/>
  <c r="M17" i="19"/>
  <c r="I17" i="19"/>
  <c r="R17" i="19"/>
  <c r="H17" i="19"/>
  <c r="N17" i="19"/>
  <c r="D17" i="19"/>
  <c r="I10" i="23"/>
  <c r="R10" i="23"/>
  <c r="H10" i="23"/>
  <c r="N10" i="23"/>
  <c r="D10" i="23"/>
  <c r="Y10" i="23"/>
  <c r="M10" i="23"/>
  <c r="AA10" i="23"/>
  <c r="AB10" i="23"/>
  <c r="AC10" i="23"/>
  <c r="AB38" i="26"/>
  <c r="M36" i="18"/>
  <c r="D36" i="18"/>
  <c r="N36" i="18"/>
  <c r="R36" i="18"/>
  <c r="H36" i="18"/>
  <c r="AK36" i="18" s="1"/>
  <c r="I36" i="18"/>
  <c r="Y36" i="18"/>
  <c r="AA35" i="22"/>
  <c r="AB35" i="22"/>
  <c r="Y36" i="20"/>
  <c r="H36" i="20"/>
  <c r="N36" i="20"/>
  <c r="M36" i="20"/>
  <c r="I36" i="20"/>
  <c r="R36" i="20"/>
  <c r="D36" i="20"/>
  <c r="R34" i="22"/>
  <c r="I34" i="22"/>
  <c r="Y34" i="22"/>
  <c r="H34" i="22"/>
  <c r="N34" i="22"/>
  <c r="D34" i="22"/>
  <c r="M34" i="22"/>
  <c r="AA33" i="23"/>
  <c r="N33" i="25"/>
  <c r="I33" i="25"/>
  <c r="D33" i="25"/>
  <c r="Y33" i="25"/>
  <c r="H33" i="25"/>
  <c r="M33" i="25"/>
  <c r="R33" i="25"/>
  <c r="AB33" i="25"/>
  <c r="I31" i="16"/>
  <c r="R31" i="16"/>
  <c r="Y31" i="16"/>
  <c r="H31" i="16"/>
  <c r="N31" i="16"/>
  <c r="M31" i="16"/>
  <c r="D31" i="16"/>
  <c r="AB31" i="16"/>
  <c r="AA31" i="17"/>
  <c r="AB31" i="21"/>
  <c r="N31" i="20"/>
  <c r="I31" i="20"/>
  <c r="D31" i="20"/>
  <c r="R31" i="20"/>
  <c r="M31" i="20"/>
  <c r="H31" i="20"/>
  <c r="Y31" i="20"/>
  <c r="R28" i="23"/>
  <c r="Y28" i="23"/>
  <c r="H28" i="23"/>
  <c r="M28" i="23"/>
  <c r="D28" i="23"/>
  <c r="I28" i="23"/>
  <c r="N28" i="23"/>
  <c r="AB28" i="22"/>
  <c r="AC28" i="20"/>
  <c r="AB28" i="21"/>
  <c r="Y28" i="17"/>
  <c r="H28" i="17"/>
  <c r="I28" i="17"/>
  <c r="D28" i="17"/>
  <c r="M28" i="17"/>
  <c r="N28" i="17"/>
  <c r="R28" i="17"/>
  <c r="AA26" i="16"/>
  <c r="N27" i="19"/>
  <c r="I27" i="19"/>
  <c r="D27" i="19"/>
  <c r="R27" i="19"/>
  <c r="Y27" i="19"/>
  <c r="M27" i="19"/>
  <c r="H27" i="19"/>
  <c r="AA25" i="24"/>
  <c r="AA26" i="20"/>
  <c r="AC23" i="23"/>
  <c r="AC23" i="20"/>
  <c r="N21" i="23"/>
  <c r="D21" i="23"/>
  <c r="Y21" i="23"/>
  <c r="M21" i="23"/>
  <c r="I21" i="23"/>
  <c r="R21" i="23"/>
  <c r="H21" i="23"/>
  <c r="N21" i="17"/>
  <c r="D21" i="17"/>
  <c r="Y21" i="17"/>
  <c r="M21" i="17"/>
  <c r="I21" i="17"/>
  <c r="R21" i="17"/>
  <c r="H21" i="17"/>
  <c r="AA20" i="22"/>
  <c r="AC20" i="19"/>
  <c r="D20" i="21"/>
  <c r="R20" i="21"/>
  <c r="N20" i="21"/>
  <c r="I20" i="21"/>
  <c r="Y20" i="21"/>
  <c r="H20" i="21"/>
  <c r="M20" i="21"/>
  <c r="AA17" i="24"/>
  <c r="Y16" i="26"/>
  <c r="I16" i="26"/>
  <c r="M16" i="26"/>
  <c r="D16" i="26"/>
  <c r="R16" i="26"/>
  <c r="N16" i="26"/>
  <c r="H16" i="26"/>
  <c r="I15" i="26"/>
  <c r="D15" i="26"/>
  <c r="N15" i="26"/>
  <c r="Y15" i="26"/>
  <c r="AD14" i="19"/>
  <c r="Y12" i="18"/>
  <c r="M12" i="18"/>
  <c r="I12" i="18"/>
  <c r="R12" i="18"/>
  <c r="H12" i="18"/>
  <c r="N12" i="18"/>
  <c r="D12" i="18"/>
  <c r="R11" i="26"/>
  <c r="H11" i="26"/>
  <c r="N11" i="26"/>
  <c r="D11" i="26"/>
  <c r="Y11" i="26"/>
  <c r="M11" i="26"/>
  <c r="I11" i="26"/>
  <c r="N11" i="17"/>
  <c r="D11" i="17"/>
  <c r="Y11" i="17"/>
  <c r="M11" i="17"/>
  <c r="R11" i="17"/>
  <c r="H11" i="17"/>
  <c r="I11" i="17"/>
  <c r="AA11" i="17"/>
  <c r="AA9" i="22"/>
  <c r="Y9" i="17"/>
  <c r="M9" i="17"/>
  <c r="R9" i="17"/>
  <c r="H9" i="17"/>
  <c r="N29" i="24"/>
  <c r="D29" i="24"/>
  <c r="I29" i="24"/>
  <c r="Y29" i="24"/>
  <c r="H29" i="24"/>
  <c r="M29" i="24"/>
  <c r="R29" i="24"/>
  <c r="AA28" i="17"/>
  <c r="R28" i="19"/>
  <c r="Y28" i="19"/>
  <c r="H28" i="19"/>
  <c r="M28" i="19"/>
  <c r="N28" i="19"/>
  <c r="D28" i="19"/>
  <c r="I28" i="19"/>
  <c r="AA27" i="19"/>
  <c r="Y26" i="22"/>
  <c r="H26" i="22"/>
  <c r="M26" i="22"/>
  <c r="I26" i="22"/>
  <c r="N26" i="22"/>
  <c r="D26" i="22"/>
  <c r="R26" i="22"/>
  <c r="AA25" i="26"/>
  <c r="AB23" i="23"/>
  <c r="Y24" i="20"/>
  <c r="H24" i="20"/>
  <c r="M24" i="20"/>
  <c r="D24" i="20"/>
  <c r="N24" i="20"/>
  <c r="R24" i="20"/>
  <c r="I24" i="20"/>
  <c r="AB22" i="22"/>
  <c r="N22" i="23"/>
  <c r="D22" i="23"/>
  <c r="Y22" i="23"/>
  <c r="M22" i="23"/>
  <c r="I22" i="23"/>
  <c r="R22" i="23"/>
  <c r="H22" i="23"/>
  <c r="AB21" i="22"/>
  <c r="N22" i="17"/>
  <c r="D22" i="17"/>
  <c r="Y22" i="17"/>
  <c r="M22" i="17"/>
  <c r="I22" i="17"/>
  <c r="R22" i="17"/>
  <c r="H22" i="17"/>
  <c r="AA21" i="17"/>
  <c r="AB19" i="18"/>
  <c r="N20" i="17"/>
  <c r="D20" i="17"/>
  <c r="Y20" i="17"/>
  <c r="M20" i="17"/>
  <c r="I20" i="17"/>
  <c r="R20" i="17"/>
  <c r="H20" i="17"/>
  <c r="AK20" i="17" s="1"/>
  <c r="AC18" i="16"/>
  <c r="N18" i="23"/>
  <c r="D18" i="23"/>
  <c r="Y18" i="23"/>
  <c r="M18" i="23"/>
  <c r="I18" i="23"/>
  <c r="R18" i="23"/>
  <c r="H18" i="23"/>
  <c r="AK18" i="23" s="1"/>
  <c r="AC18" i="20"/>
  <c r="AA17" i="18"/>
  <c r="AB17" i="19"/>
  <c r="AB16" i="16"/>
  <c r="AC16" i="16"/>
  <c r="AC16" i="20"/>
  <c r="AB15" i="21"/>
  <c r="AC15" i="19"/>
  <c r="I13" i="24"/>
  <c r="R13" i="24"/>
  <c r="H13" i="24"/>
  <c r="N13" i="24"/>
  <c r="D13" i="24"/>
  <c r="Y13" i="24"/>
  <c r="M13" i="24"/>
  <c r="N13" i="26"/>
  <c r="D13" i="26"/>
  <c r="R13" i="26"/>
  <c r="H13" i="26"/>
  <c r="I13" i="26"/>
  <c r="Y13" i="26"/>
  <c r="M13" i="26"/>
  <c r="AA14" i="20"/>
  <c r="R13" i="19"/>
  <c r="H13" i="19"/>
  <c r="N13" i="19"/>
  <c r="D13" i="19"/>
  <c r="Y13" i="19"/>
  <c r="M13" i="19"/>
  <c r="I13" i="19"/>
  <c r="AC12" i="22"/>
  <c r="I13" i="20"/>
  <c r="M13" i="20"/>
  <c r="Y13" i="20"/>
  <c r="R13" i="20"/>
  <c r="N13" i="20"/>
  <c r="D13" i="20"/>
  <c r="H13" i="20"/>
  <c r="N11" i="22"/>
  <c r="D11" i="22"/>
  <c r="Y11" i="22"/>
  <c r="M11" i="22"/>
  <c r="I11" i="22"/>
  <c r="R11" i="22"/>
  <c r="H11" i="22"/>
  <c r="N10" i="17"/>
  <c r="D10" i="17"/>
  <c r="Y10" i="17"/>
  <c r="M10" i="17"/>
  <c r="I10" i="17"/>
  <c r="R10" i="17"/>
  <c r="H10" i="17"/>
  <c r="AK10" i="17" s="1"/>
  <c r="AC10" i="17"/>
  <c r="AA10" i="17"/>
  <c r="AC9" i="24"/>
  <c r="AC39" i="25"/>
  <c r="N29" i="19"/>
  <c r="I29" i="19"/>
  <c r="D29" i="19"/>
  <c r="R29" i="19"/>
  <c r="Y29" i="19"/>
  <c r="H29" i="19"/>
  <c r="M29" i="19"/>
  <c r="D39" i="22"/>
  <c r="N39" i="22"/>
  <c r="I39" i="22"/>
  <c r="M39" i="22"/>
  <c r="H39" i="22"/>
  <c r="Y39" i="22"/>
  <c r="R39" i="22"/>
  <c r="AC38" i="26"/>
  <c r="M38" i="24"/>
  <c r="I38" i="24"/>
  <c r="R38" i="24"/>
  <c r="Y38" i="24"/>
  <c r="H38" i="24"/>
  <c r="AK38" i="24" s="1"/>
  <c r="D38" i="24"/>
  <c r="N38" i="24"/>
  <c r="AB38" i="19"/>
  <c r="AB37" i="16"/>
  <c r="I37" i="16"/>
  <c r="M37" i="16"/>
  <c r="D37" i="16"/>
  <c r="N37" i="16"/>
  <c r="H37" i="16"/>
  <c r="R37" i="16"/>
  <c r="Y37" i="16"/>
  <c r="D37" i="20"/>
  <c r="N37" i="20"/>
  <c r="I37" i="20"/>
  <c r="Y37" i="20"/>
  <c r="H37" i="20"/>
  <c r="M37" i="20"/>
  <c r="R37" i="20"/>
  <c r="N37" i="21"/>
  <c r="I37" i="21"/>
  <c r="D37" i="21"/>
  <c r="M37" i="21"/>
  <c r="R37" i="21"/>
  <c r="Y37" i="21"/>
  <c r="H37" i="21"/>
  <c r="AA36" i="25"/>
  <c r="AC36" i="25"/>
  <c r="AA35" i="17"/>
  <c r="N35" i="20"/>
  <c r="I35" i="20"/>
  <c r="D35" i="20"/>
  <c r="R35" i="20"/>
  <c r="Y35" i="20"/>
  <c r="H35" i="20"/>
  <c r="M35" i="20"/>
  <c r="D34" i="17"/>
  <c r="I34" i="17"/>
  <c r="R34" i="17"/>
  <c r="H34" i="17"/>
  <c r="Y34" i="17"/>
  <c r="M34" i="17"/>
  <c r="N34" i="17"/>
  <c r="N33" i="24"/>
  <c r="I33" i="24"/>
  <c r="D33" i="24"/>
  <c r="Y33" i="24"/>
  <c r="H33" i="24"/>
  <c r="M33" i="24"/>
  <c r="R33" i="24"/>
  <c r="AB33" i="22"/>
  <c r="D32" i="24"/>
  <c r="N32" i="24"/>
  <c r="R32" i="24"/>
  <c r="I32" i="24"/>
  <c r="Y32" i="24"/>
  <c r="H32" i="24"/>
  <c r="M32" i="24"/>
  <c r="AC33" i="17"/>
  <c r="R33" i="17" s="1"/>
  <c r="AA32" i="24"/>
  <c r="N31" i="18"/>
  <c r="I31" i="18"/>
  <c r="D31" i="18"/>
  <c r="R31" i="18"/>
  <c r="H31" i="18"/>
  <c r="Y31" i="18"/>
  <c r="M31" i="18"/>
  <c r="AB31" i="18"/>
  <c r="AC30" i="26"/>
  <c r="N30" i="20"/>
  <c r="Y30" i="20"/>
  <c r="H30" i="20"/>
  <c r="M30" i="20"/>
  <c r="I30" i="20"/>
  <c r="R30" i="20"/>
  <c r="D30" i="20"/>
  <c r="AC28" i="26"/>
  <c r="AB29" i="19"/>
  <c r="AA27" i="23"/>
  <c r="AC26" i="16"/>
  <c r="AA27" i="25"/>
  <c r="D26" i="24"/>
  <c r="R26" i="24"/>
  <c r="I26" i="24"/>
  <c r="N26" i="24"/>
  <c r="Y26" i="24"/>
  <c r="H26" i="24"/>
  <c r="M26" i="24"/>
  <c r="AC25" i="24"/>
  <c r="Y26" i="19"/>
  <c r="H26" i="19"/>
  <c r="D26" i="19"/>
  <c r="M26" i="19"/>
  <c r="N26" i="19"/>
  <c r="R26" i="19"/>
  <c r="I26" i="19"/>
  <c r="AB25" i="26"/>
  <c r="R24" i="23"/>
  <c r="D24" i="23"/>
  <c r="Y24" i="23"/>
  <c r="H24" i="23"/>
  <c r="N24" i="23"/>
  <c r="M24" i="23"/>
  <c r="I24" i="23"/>
  <c r="AB25" i="21"/>
  <c r="I25" i="21"/>
  <c r="R25" i="21"/>
  <c r="Y25" i="21"/>
  <c r="H25" i="21"/>
  <c r="M25" i="21"/>
  <c r="N25" i="21"/>
  <c r="D25" i="21"/>
  <c r="N23" i="22"/>
  <c r="D23" i="22"/>
  <c r="I23" i="22"/>
  <c r="Y23" i="22"/>
  <c r="H23" i="22"/>
  <c r="M23" i="22"/>
  <c r="R23" i="22"/>
  <c r="AB23" i="22"/>
  <c r="AC23" i="19"/>
  <c r="AA22" i="22"/>
  <c r="AA21" i="18"/>
  <c r="AB22" i="19"/>
  <c r="N20" i="23"/>
  <c r="D20" i="23"/>
  <c r="Y20" i="23"/>
  <c r="M20" i="23"/>
  <c r="I20" i="23"/>
  <c r="R20" i="23"/>
  <c r="H20" i="23"/>
  <c r="AK20" i="23" s="1"/>
  <c r="AA19" i="18"/>
  <c r="R19" i="26"/>
  <c r="D19" i="26"/>
  <c r="N19" i="26"/>
  <c r="I19" i="26"/>
  <c r="H19" i="26"/>
  <c r="M19" i="26"/>
  <c r="Y19" i="26"/>
  <c r="AC19" i="21"/>
  <c r="M19" i="20"/>
  <c r="N19" i="20"/>
  <c r="H19" i="20"/>
  <c r="D19" i="20"/>
  <c r="R19" i="20"/>
  <c r="Y19" i="20"/>
  <c r="I19" i="20"/>
  <c r="AB17" i="26"/>
  <c r="AD17" i="26" s="1"/>
  <c r="AC15" i="24"/>
  <c r="AC15" i="20"/>
  <c r="AC14" i="24"/>
  <c r="I13" i="23"/>
  <c r="R13" i="23"/>
  <c r="H13" i="23"/>
  <c r="N13" i="23"/>
  <c r="D13" i="23"/>
  <c r="Y13" i="23"/>
  <c r="M13" i="23"/>
  <c r="I14" i="19"/>
  <c r="N14" i="19"/>
  <c r="D14" i="19"/>
  <c r="R14" i="19"/>
  <c r="M14" i="19"/>
  <c r="Y14" i="19"/>
  <c r="H14" i="19"/>
  <c r="N13" i="17"/>
  <c r="D13" i="17"/>
  <c r="Y13" i="17"/>
  <c r="M13" i="17"/>
  <c r="I13" i="17"/>
  <c r="R13" i="17"/>
  <c r="H13" i="17"/>
  <c r="I11" i="23"/>
  <c r="R11" i="23"/>
  <c r="H11" i="23"/>
  <c r="N11" i="23"/>
  <c r="D11" i="23"/>
  <c r="Y11" i="23"/>
  <c r="M11" i="23"/>
  <c r="AB11" i="16"/>
  <c r="N12" i="25"/>
  <c r="I12" i="25"/>
  <c r="D12" i="25"/>
  <c r="R12" i="25"/>
  <c r="M12" i="25"/>
  <c r="H12" i="25"/>
  <c r="Y12" i="25"/>
  <c r="N10" i="25"/>
  <c r="I10" i="25"/>
  <c r="D10" i="25"/>
  <c r="M10" i="25"/>
  <c r="H10" i="25"/>
  <c r="Y10" i="25"/>
  <c r="R10" i="25"/>
  <c r="AB9" i="24"/>
  <c r="AC39" i="20"/>
  <c r="AB39" i="23"/>
  <c r="AC31" i="17"/>
  <c r="AC34" i="19"/>
  <c r="AB35" i="21"/>
  <c r="I37" i="17"/>
  <c r="D37" i="17"/>
  <c r="N37" i="17"/>
  <c r="M37" i="17"/>
  <c r="R37" i="17"/>
  <c r="H37" i="17"/>
  <c r="Y37" i="17"/>
  <c r="AA37" i="19"/>
  <c r="R38" i="25"/>
  <c r="I38" i="25"/>
  <c r="Y38" i="25"/>
  <c r="H38" i="25"/>
  <c r="D38" i="25"/>
  <c r="M38" i="25"/>
  <c r="N38" i="25"/>
  <c r="I11" i="15"/>
  <c r="N11" i="15"/>
  <c r="D11" i="15"/>
  <c r="N35" i="19"/>
  <c r="I35" i="19"/>
  <c r="D35" i="19"/>
  <c r="R35" i="19"/>
  <c r="Y35" i="19"/>
  <c r="M35" i="19"/>
  <c r="H35" i="19"/>
  <c r="AC34" i="16"/>
  <c r="M36" i="22"/>
  <c r="D36" i="22"/>
  <c r="I36" i="22"/>
  <c r="R36" i="22"/>
  <c r="Y36" i="22"/>
  <c r="H36" i="22"/>
  <c r="N36" i="22"/>
  <c r="AA37" i="24"/>
  <c r="AC29" i="22"/>
  <c r="AA32" i="19"/>
  <c r="AD32" i="19" s="1"/>
  <c r="M30" i="23"/>
  <c r="N30" i="23"/>
  <c r="R30" i="23"/>
  <c r="I30" i="23"/>
  <c r="Y30" i="23"/>
  <c r="H30" i="23"/>
  <c r="D30" i="23"/>
  <c r="AB31" i="23"/>
  <c r="AC33" i="16"/>
  <c r="R36" i="19"/>
  <c r="Y36" i="19"/>
  <c r="H36" i="19"/>
  <c r="M36" i="19"/>
  <c r="D36" i="19"/>
  <c r="N36" i="19"/>
  <c r="I36" i="19"/>
  <c r="AA35" i="16"/>
  <c r="M38" i="23"/>
  <c r="N38" i="23"/>
  <c r="R38" i="23"/>
  <c r="Y38" i="23"/>
  <c r="H38" i="23"/>
  <c r="AK38" i="23" s="1"/>
  <c r="D38" i="23"/>
  <c r="I38" i="23"/>
  <c r="AB39" i="22"/>
  <c r="AC36" i="22"/>
  <c r="AD36" i="22" s="1"/>
  <c r="AB37" i="18"/>
  <c r="AD37" i="18" s="1"/>
  <c r="AA37" i="17"/>
  <c r="N25" i="18"/>
  <c r="D25" i="18"/>
  <c r="I25" i="18"/>
  <c r="R25" i="18"/>
  <c r="H25" i="18"/>
  <c r="Y25" i="18"/>
  <c r="M25" i="18"/>
  <c r="N24" i="25"/>
  <c r="Y24" i="25"/>
  <c r="H24" i="25"/>
  <c r="M24" i="25"/>
  <c r="I24" i="25"/>
  <c r="R24" i="25"/>
  <c r="D24" i="25"/>
  <c r="I23" i="21"/>
  <c r="H23" i="21"/>
  <c r="R23" i="21"/>
  <c r="AK23" i="21" s="1"/>
  <c r="D23" i="21"/>
  <c r="Y23" i="21"/>
  <c r="N23" i="21"/>
  <c r="M23" i="21"/>
  <c r="AM11" i="24"/>
  <c r="AA12" i="15"/>
  <c r="N10" i="15"/>
  <c r="D10" i="15"/>
  <c r="AM9" i="19"/>
  <c r="AL34" i="26"/>
  <c r="AC30" i="25"/>
  <c r="N31" i="24"/>
  <c r="I31" i="24"/>
  <c r="D31" i="24"/>
  <c r="Y31" i="24"/>
  <c r="H31" i="24"/>
  <c r="M31" i="24"/>
  <c r="R31" i="24"/>
  <c r="N33" i="21"/>
  <c r="I33" i="21"/>
  <c r="D33" i="21"/>
  <c r="Y33" i="21"/>
  <c r="H33" i="21"/>
  <c r="M33" i="21"/>
  <c r="R33" i="21"/>
  <c r="M34" i="20"/>
  <c r="AK34" i="20" s="1"/>
  <c r="I34" i="20"/>
  <c r="R34" i="20"/>
  <c r="D34" i="20"/>
  <c r="Y34" i="20"/>
  <c r="H34" i="20"/>
  <c r="N34" i="20"/>
  <c r="R38" i="18"/>
  <c r="Y38" i="18"/>
  <c r="H38" i="18"/>
  <c r="D38" i="18"/>
  <c r="N38" i="18"/>
  <c r="I38" i="18"/>
  <c r="M38" i="18"/>
  <c r="Y34" i="19"/>
  <c r="H34" i="19"/>
  <c r="D34" i="19"/>
  <c r="M34" i="19"/>
  <c r="N34" i="19"/>
  <c r="R34" i="19"/>
  <c r="I34" i="19"/>
  <c r="D32" i="23"/>
  <c r="R32" i="23"/>
  <c r="Y32" i="23"/>
  <c r="H32" i="23"/>
  <c r="N32" i="23"/>
  <c r="M32" i="23"/>
  <c r="I32" i="23"/>
  <c r="AA32" i="23"/>
  <c r="Y32" i="17"/>
  <c r="H32" i="17"/>
  <c r="I32" i="17"/>
  <c r="M32" i="17"/>
  <c r="N32" i="17"/>
  <c r="D32" i="17"/>
  <c r="R32" i="17"/>
  <c r="AA30" i="18"/>
  <c r="Y30" i="16"/>
  <c r="H30" i="16"/>
  <c r="AK30" i="16" s="1"/>
  <c r="D30" i="16"/>
  <c r="M30" i="16"/>
  <c r="N30" i="16"/>
  <c r="I30" i="16"/>
  <c r="R30" i="16"/>
  <c r="AC29" i="16"/>
  <c r="I29" i="17"/>
  <c r="D29" i="17"/>
  <c r="N29" i="17"/>
  <c r="M29" i="17"/>
  <c r="R29" i="17"/>
  <c r="Y29" i="17"/>
  <c r="H29" i="17"/>
  <c r="R28" i="18"/>
  <c r="D28" i="18"/>
  <c r="Y28" i="18"/>
  <c r="H28" i="18"/>
  <c r="N28" i="18"/>
  <c r="M28" i="18"/>
  <c r="I28" i="18"/>
  <c r="N28" i="25"/>
  <c r="I28" i="25"/>
  <c r="R28" i="25"/>
  <c r="D28" i="25"/>
  <c r="Y28" i="25"/>
  <c r="H28" i="25"/>
  <c r="M28" i="25"/>
  <c r="AC27" i="17"/>
  <c r="N27" i="20"/>
  <c r="I27" i="20"/>
  <c r="D27" i="20"/>
  <c r="R27" i="20"/>
  <c r="Y27" i="20"/>
  <c r="M27" i="20"/>
  <c r="H27" i="20"/>
  <c r="I27" i="21"/>
  <c r="D27" i="21"/>
  <c r="R27" i="21"/>
  <c r="Y27" i="21"/>
  <c r="H27" i="21"/>
  <c r="M27" i="21"/>
  <c r="N27" i="21"/>
  <c r="N25" i="19"/>
  <c r="D25" i="19"/>
  <c r="I25" i="19"/>
  <c r="R25" i="19"/>
  <c r="Y25" i="19"/>
  <c r="H25" i="19"/>
  <c r="M25" i="19"/>
  <c r="AA24" i="19"/>
  <c r="N23" i="18"/>
  <c r="I23" i="18"/>
  <c r="D23" i="18"/>
  <c r="R23" i="18"/>
  <c r="H23" i="18"/>
  <c r="Y23" i="18"/>
  <c r="M23" i="18"/>
  <c r="N23" i="24"/>
  <c r="I23" i="24"/>
  <c r="D23" i="24"/>
  <c r="Y23" i="24"/>
  <c r="H23" i="24"/>
  <c r="M23" i="24"/>
  <c r="R23" i="24"/>
  <c r="I22" i="16"/>
  <c r="R22" i="16"/>
  <c r="H22" i="16"/>
  <c r="Y22" i="16"/>
  <c r="M22" i="16"/>
  <c r="N22" i="16"/>
  <c r="AA22" i="16"/>
  <c r="I21" i="24"/>
  <c r="R21" i="24"/>
  <c r="H21" i="24"/>
  <c r="N21" i="24"/>
  <c r="D21" i="24"/>
  <c r="Y21" i="24"/>
  <c r="M21" i="24"/>
  <c r="N22" i="21"/>
  <c r="I22" i="21"/>
  <c r="H22" i="21"/>
  <c r="R22" i="21"/>
  <c r="D22" i="21"/>
  <c r="Y22" i="21"/>
  <c r="M22" i="21"/>
  <c r="AA21" i="20"/>
  <c r="AC21" i="20"/>
  <c r="Y21" i="19"/>
  <c r="M21" i="19"/>
  <c r="I21" i="19"/>
  <c r="R21" i="19"/>
  <c r="H21" i="19"/>
  <c r="AK21" i="19" s="1"/>
  <c r="N21" i="19"/>
  <c r="D21" i="19"/>
  <c r="N19" i="23"/>
  <c r="D19" i="23"/>
  <c r="Y19" i="23"/>
  <c r="M19" i="23"/>
  <c r="I19" i="23"/>
  <c r="R19" i="23"/>
  <c r="H19" i="23"/>
  <c r="Y20" i="19"/>
  <c r="M20" i="19"/>
  <c r="I20" i="19"/>
  <c r="R20" i="19"/>
  <c r="H20" i="19"/>
  <c r="AK20" i="19" s="1"/>
  <c r="N20" i="19"/>
  <c r="D20" i="19"/>
  <c r="I18" i="24"/>
  <c r="R18" i="24"/>
  <c r="H18" i="24"/>
  <c r="N18" i="24"/>
  <c r="D18" i="24"/>
  <c r="Y18" i="24"/>
  <c r="M18" i="24"/>
  <c r="AB17" i="24"/>
  <c r="Y18" i="19"/>
  <c r="M18" i="19"/>
  <c r="I18" i="19"/>
  <c r="R18" i="19"/>
  <c r="H18" i="19"/>
  <c r="N18" i="19"/>
  <c r="D18" i="19"/>
  <c r="AB16" i="24"/>
  <c r="AC16" i="24"/>
  <c r="I16" i="17"/>
  <c r="R16" i="17"/>
  <c r="H16" i="17"/>
  <c r="N16" i="17"/>
  <c r="Y16" i="17"/>
  <c r="M16" i="17"/>
  <c r="D16" i="17"/>
  <c r="Y15" i="18"/>
  <c r="M15" i="18"/>
  <c r="I15" i="18"/>
  <c r="R15" i="18"/>
  <c r="H15" i="18"/>
  <c r="N15" i="18"/>
  <c r="D15" i="18"/>
  <c r="AC11" i="16"/>
  <c r="I10" i="24"/>
  <c r="R10" i="24"/>
  <c r="H10" i="24"/>
  <c r="N10" i="24"/>
  <c r="D10" i="24"/>
  <c r="Y10" i="24"/>
  <c r="M10" i="24"/>
  <c r="AA10" i="24"/>
  <c r="AB10" i="24"/>
  <c r="AC10" i="24"/>
  <c r="Y9" i="16"/>
  <c r="H9" i="16"/>
  <c r="R9" i="16"/>
  <c r="M9" i="16"/>
  <c r="Y38" i="17"/>
  <c r="H38" i="17"/>
  <c r="M38" i="17"/>
  <c r="D38" i="17"/>
  <c r="I38" i="17"/>
  <c r="R38" i="17"/>
  <c r="N38" i="17"/>
  <c r="AA36" i="18"/>
  <c r="AB36" i="16"/>
  <c r="I36" i="16"/>
  <c r="Y36" i="16"/>
  <c r="H36" i="16"/>
  <c r="M36" i="16"/>
  <c r="N36" i="16"/>
  <c r="R36" i="16"/>
  <c r="D36" i="16"/>
  <c r="AB36" i="20"/>
  <c r="AA34" i="16"/>
  <c r="AC34" i="20"/>
  <c r="R32" i="22"/>
  <c r="Y32" i="22"/>
  <c r="H32" i="22"/>
  <c r="I32" i="22"/>
  <c r="N32" i="22"/>
  <c r="M32" i="22"/>
  <c r="D32" i="22"/>
  <c r="AC32" i="22"/>
  <c r="AA31" i="26"/>
  <c r="N31" i="22"/>
  <c r="D31" i="22"/>
  <c r="I31" i="22"/>
  <c r="Y31" i="22"/>
  <c r="H31" i="22"/>
  <c r="M31" i="22"/>
  <c r="R31" i="22"/>
  <c r="AB30" i="16"/>
  <c r="N30" i="21"/>
  <c r="Y30" i="21"/>
  <c r="H30" i="21"/>
  <c r="I30" i="21"/>
  <c r="M30" i="21"/>
  <c r="D30" i="21"/>
  <c r="R30" i="21"/>
  <c r="N29" i="23"/>
  <c r="I29" i="23"/>
  <c r="D29" i="23"/>
  <c r="R29" i="23"/>
  <c r="Y29" i="23"/>
  <c r="H29" i="23"/>
  <c r="M29" i="23"/>
  <c r="AB29" i="18"/>
  <c r="AA29" i="20"/>
  <c r="AC28" i="23"/>
  <c r="AA28" i="25"/>
  <c r="N27" i="18"/>
  <c r="I27" i="18"/>
  <c r="D27" i="18"/>
  <c r="R27" i="18"/>
  <c r="H27" i="18"/>
  <c r="Y27" i="18"/>
  <c r="M27" i="18"/>
  <c r="AA27" i="20"/>
  <c r="AB25" i="16"/>
  <c r="I25" i="16"/>
  <c r="Y25" i="16"/>
  <c r="H25" i="16"/>
  <c r="M25" i="16"/>
  <c r="D25" i="16"/>
  <c r="R25" i="16"/>
  <c r="N25" i="16"/>
  <c r="AB24" i="24"/>
  <c r="AA24" i="24"/>
  <c r="N24" i="26"/>
  <c r="D24" i="26"/>
  <c r="M24" i="26"/>
  <c r="I24" i="26"/>
  <c r="R24" i="26"/>
  <c r="Y24" i="26"/>
  <c r="H24" i="26"/>
  <c r="AD23" i="16"/>
  <c r="AA22" i="18"/>
  <c r="AB22" i="18"/>
  <c r="AC22" i="21"/>
  <c r="AC21" i="24"/>
  <c r="Y22" i="20"/>
  <c r="M22" i="20"/>
  <c r="I22" i="20"/>
  <c r="R22" i="20"/>
  <c r="N22" i="20"/>
  <c r="D22" i="20"/>
  <c r="H22" i="20"/>
  <c r="AK22" i="20" s="1"/>
  <c r="Y20" i="18"/>
  <c r="M20" i="18"/>
  <c r="I20" i="18"/>
  <c r="R20" i="18"/>
  <c r="H20" i="18"/>
  <c r="N20" i="18"/>
  <c r="D20" i="18"/>
  <c r="AC19" i="16"/>
  <c r="I19" i="24"/>
  <c r="R19" i="24"/>
  <c r="H19" i="24"/>
  <c r="N19" i="24"/>
  <c r="D19" i="24"/>
  <c r="Y19" i="24"/>
  <c r="M19" i="24"/>
  <c r="AC18" i="24"/>
  <c r="AC17" i="23"/>
  <c r="AB18" i="21"/>
  <c r="Y18" i="20"/>
  <c r="M18" i="20"/>
  <c r="I18" i="20"/>
  <c r="N18" i="20"/>
  <c r="D18" i="20"/>
  <c r="R18" i="20"/>
  <c r="H18" i="20"/>
  <c r="I17" i="17"/>
  <c r="D17" i="17"/>
  <c r="R17" i="17"/>
  <c r="H17" i="17"/>
  <c r="N17" i="17"/>
  <c r="Y17" i="17"/>
  <c r="M17" i="17"/>
  <c r="AB17" i="17"/>
  <c r="N16" i="21"/>
  <c r="I16" i="21"/>
  <c r="D16" i="21"/>
  <c r="R16" i="21"/>
  <c r="H16" i="21"/>
  <c r="Y16" i="21"/>
  <c r="M16" i="21"/>
  <c r="AC15" i="18"/>
  <c r="AA14" i="18"/>
  <c r="D14" i="25"/>
  <c r="N14" i="25"/>
  <c r="I14" i="25"/>
  <c r="Y14" i="25"/>
  <c r="R14" i="25"/>
  <c r="H14" i="25"/>
  <c r="AK14" i="25" s="1"/>
  <c r="M14" i="25"/>
  <c r="I12" i="16"/>
  <c r="M12" i="16"/>
  <c r="Y12" i="16"/>
  <c r="D12" i="16"/>
  <c r="H12" i="16"/>
  <c r="R12" i="16"/>
  <c r="N12" i="16"/>
  <c r="AC12" i="23"/>
  <c r="AC12" i="21"/>
  <c r="D11" i="25"/>
  <c r="I11" i="25"/>
  <c r="N11" i="25"/>
  <c r="H11" i="25"/>
  <c r="Y11" i="25"/>
  <c r="R11" i="25"/>
  <c r="M11" i="25"/>
  <c r="AB11" i="25"/>
  <c r="M9" i="21"/>
  <c r="Y9" i="21"/>
  <c r="H9" i="21"/>
  <c r="R9" i="21"/>
  <c r="AA9" i="23"/>
  <c r="AB39" i="20"/>
  <c r="AC29" i="17"/>
  <c r="R28" i="24"/>
  <c r="Y28" i="24"/>
  <c r="H28" i="24"/>
  <c r="I28" i="24"/>
  <c r="M28" i="24"/>
  <c r="D28" i="24"/>
  <c r="N28" i="24"/>
  <c r="N27" i="24"/>
  <c r="D27" i="24"/>
  <c r="I27" i="24"/>
  <c r="Y27" i="24"/>
  <c r="H27" i="24"/>
  <c r="M27" i="24"/>
  <c r="R27" i="24"/>
  <c r="I27" i="16"/>
  <c r="Y27" i="16"/>
  <c r="H27" i="16"/>
  <c r="M27" i="16"/>
  <c r="D27" i="16"/>
  <c r="R27" i="16"/>
  <c r="N27" i="16"/>
  <c r="N27" i="23"/>
  <c r="I27" i="23"/>
  <c r="D27" i="23"/>
  <c r="R27" i="23"/>
  <c r="Y27" i="23"/>
  <c r="H27" i="23"/>
  <c r="M27" i="23"/>
  <c r="AB27" i="25"/>
  <c r="AB26" i="20"/>
  <c r="AC25" i="16"/>
  <c r="AC24" i="20"/>
  <c r="I23" i="16"/>
  <c r="M23" i="16"/>
  <c r="AK23" i="16" s="1"/>
  <c r="D23" i="16"/>
  <c r="N23" i="16"/>
  <c r="Y23" i="16"/>
  <c r="R23" i="16"/>
  <c r="H23" i="16"/>
  <c r="AC23" i="25"/>
  <c r="R22" i="24"/>
  <c r="H22" i="24"/>
  <c r="N22" i="24"/>
  <c r="D22" i="24"/>
  <c r="Y22" i="24"/>
  <c r="M22" i="24"/>
  <c r="I22" i="24"/>
  <c r="N23" i="19"/>
  <c r="I23" i="19"/>
  <c r="D23" i="19"/>
  <c r="R23" i="19"/>
  <c r="Y23" i="19"/>
  <c r="M23" i="19"/>
  <c r="H23" i="19"/>
  <c r="AC22" i="19"/>
  <c r="R21" i="26"/>
  <c r="N21" i="26"/>
  <c r="D21" i="26"/>
  <c r="H21" i="26"/>
  <c r="I21" i="26"/>
  <c r="Y21" i="26"/>
  <c r="M21" i="26"/>
  <c r="H20" i="16"/>
  <c r="R20" i="16"/>
  <c r="M20" i="16"/>
  <c r="I20" i="16"/>
  <c r="D20" i="16"/>
  <c r="Y20" i="16"/>
  <c r="N20" i="16"/>
  <c r="AB20" i="19"/>
  <c r="AA19" i="25"/>
  <c r="AB19" i="21"/>
  <c r="AA18" i="18"/>
  <c r="AB18" i="19"/>
  <c r="M17" i="16"/>
  <c r="Y17" i="16"/>
  <c r="I17" i="16"/>
  <c r="R17" i="16"/>
  <c r="H17" i="16"/>
  <c r="N17" i="16"/>
  <c r="D17" i="16"/>
  <c r="AA16" i="24"/>
  <c r="N16" i="22"/>
  <c r="D16" i="22"/>
  <c r="Y16" i="22"/>
  <c r="M16" i="22"/>
  <c r="I16" i="22"/>
  <c r="R16" i="22"/>
  <c r="H16" i="22"/>
  <c r="AA16" i="22"/>
  <c r="AD16" i="22" s="1"/>
  <c r="AC15" i="23"/>
  <c r="AC16" i="25"/>
  <c r="AC15" i="25"/>
  <c r="N14" i="22"/>
  <c r="D14" i="22"/>
  <c r="Y14" i="22"/>
  <c r="M14" i="22"/>
  <c r="I14" i="22"/>
  <c r="R14" i="22"/>
  <c r="H14" i="22"/>
  <c r="Y13" i="18"/>
  <c r="M13" i="18"/>
  <c r="I13" i="18"/>
  <c r="R13" i="18"/>
  <c r="H13" i="18"/>
  <c r="N13" i="18"/>
  <c r="D13" i="18"/>
  <c r="M13" i="21"/>
  <c r="Y13" i="21"/>
  <c r="I13" i="21"/>
  <c r="H13" i="21"/>
  <c r="R13" i="21"/>
  <c r="AK13" i="21" s="1"/>
  <c r="D13" i="21"/>
  <c r="N13" i="21"/>
  <c r="AA11" i="16"/>
  <c r="I10" i="16"/>
  <c r="R10" i="16"/>
  <c r="D10" i="16"/>
  <c r="Y10" i="16"/>
  <c r="H10" i="16"/>
  <c r="N10" i="16"/>
  <c r="M10" i="16"/>
  <c r="Y9" i="18"/>
  <c r="M9" i="18"/>
  <c r="R9" i="18"/>
  <c r="H9" i="18"/>
  <c r="AB9" i="16"/>
  <c r="N39" i="18"/>
  <c r="I39" i="18"/>
  <c r="D39" i="18"/>
  <c r="R39" i="18"/>
  <c r="M39" i="18"/>
  <c r="H39" i="18"/>
  <c r="AK39" i="18" s="1"/>
  <c r="Y39" i="18"/>
  <c r="AA28" i="24"/>
  <c r="I39" i="24"/>
  <c r="D39" i="24"/>
  <c r="N39" i="24"/>
  <c r="H39" i="24"/>
  <c r="Y39" i="24"/>
  <c r="R39" i="24"/>
  <c r="M39" i="24"/>
  <c r="N39" i="19"/>
  <c r="I39" i="19"/>
  <c r="D39" i="19"/>
  <c r="M39" i="19"/>
  <c r="H39" i="19"/>
  <c r="Y39" i="19"/>
  <c r="R39" i="19"/>
  <c r="AA37" i="16"/>
  <c r="AA38" i="19"/>
  <c r="AC36" i="23"/>
  <c r="N37" i="25"/>
  <c r="I37" i="25"/>
  <c r="D37" i="25"/>
  <c r="M37" i="25"/>
  <c r="R37" i="25"/>
  <c r="Y37" i="25"/>
  <c r="H37" i="25"/>
  <c r="AK37" i="25" s="1"/>
  <c r="N35" i="24"/>
  <c r="I35" i="24"/>
  <c r="D35" i="24"/>
  <c r="Y35" i="24"/>
  <c r="H35" i="24"/>
  <c r="AK35" i="24" s="1"/>
  <c r="M35" i="24"/>
  <c r="R35" i="24"/>
  <c r="N35" i="18"/>
  <c r="I35" i="18"/>
  <c r="D35" i="18"/>
  <c r="R35" i="18"/>
  <c r="H35" i="18"/>
  <c r="Y35" i="18"/>
  <c r="M35" i="18"/>
  <c r="AD35" i="19"/>
  <c r="AB34" i="16"/>
  <c r="AC33" i="22"/>
  <c r="AC33" i="23"/>
  <c r="AA34" i="17"/>
  <c r="AA33" i="25"/>
  <c r="AC32" i="24"/>
  <c r="AB32" i="16"/>
  <c r="I32" i="16"/>
  <c r="Y32" i="16"/>
  <c r="H32" i="16"/>
  <c r="M32" i="16"/>
  <c r="N32" i="16"/>
  <c r="R32" i="16"/>
  <c r="D32" i="16"/>
  <c r="AC31" i="26"/>
  <c r="AC31" i="22"/>
  <c r="AC30" i="16"/>
  <c r="AC31" i="20"/>
  <c r="M30" i="22"/>
  <c r="N30" i="22"/>
  <c r="D30" i="22"/>
  <c r="I30" i="22"/>
  <c r="R30" i="22"/>
  <c r="Y30" i="22"/>
  <c r="H30" i="22"/>
  <c r="AK30" i="22" s="1"/>
  <c r="AC29" i="23"/>
  <c r="AB30" i="17"/>
  <c r="Y30" i="19"/>
  <c r="H30" i="19"/>
  <c r="N30" i="19"/>
  <c r="M30" i="19"/>
  <c r="R30" i="19"/>
  <c r="I30" i="19"/>
  <c r="D30" i="19"/>
  <c r="AC29" i="19"/>
  <c r="AC28" i="16"/>
  <c r="AA27" i="16"/>
  <c r="AB27" i="19"/>
  <c r="AB26" i="22"/>
  <c r="M26" i="18"/>
  <c r="N26" i="18"/>
  <c r="R26" i="18"/>
  <c r="H26" i="18"/>
  <c r="D26" i="18"/>
  <c r="I26" i="18"/>
  <c r="Y26" i="18"/>
  <c r="AA25" i="16"/>
  <c r="N25" i="22"/>
  <c r="I25" i="22"/>
  <c r="D25" i="22"/>
  <c r="Y25" i="22"/>
  <c r="H25" i="22"/>
  <c r="AK25" i="22" s="1"/>
  <c r="M25" i="22"/>
  <c r="R25" i="22"/>
  <c r="I26" i="21"/>
  <c r="N26" i="21"/>
  <c r="Y26" i="21"/>
  <c r="H26" i="21"/>
  <c r="M26" i="21"/>
  <c r="D26" i="21"/>
  <c r="R26" i="21"/>
  <c r="AC25" i="25"/>
  <c r="R24" i="18"/>
  <c r="D24" i="18"/>
  <c r="Y24" i="18"/>
  <c r="H24" i="18"/>
  <c r="M24" i="18"/>
  <c r="I24" i="18"/>
  <c r="N24" i="18"/>
  <c r="AC23" i="22"/>
  <c r="AB24" i="21"/>
  <c r="AD24" i="21" s="1"/>
  <c r="I24" i="21"/>
  <c r="N24" i="21"/>
  <c r="Y24" i="21"/>
  <c r="H24" i="21"/>
  <c r="M24" i="21"/>
  <c r="D24" i="21"/>
  <c r="R24" i="21"/>
  <c r="AB23" i="17"/>
  <c r="AC22" i="16"/>
  <c r="AA22" i="21"/>
  <c r="AC21" i="17"/>
  <c r="I20" i="24"/>
  <c r="R20" i="24"/>
  <c r="H20" i="24"/>
  <c r="N20" i="24"/>
  <c r="D20" i="24"/>
  <c r="Y20" i="24"/>
  <c r="M20" i="24"/>
  <c r="N20" i="26"/>
  <c r="H20" i="26"/>
  <c r="I20" i="26"/>
  <c r="D20" i="26"/>
  <c r="Y20" i="26"/>
  <c r="R20" i="26"/>
  <c r="M20" i="26"/>
  <c r="AB20" i="20"/>
  <c r="AA19" i="16"/>
  <c r="D20" i="25"/>
  <c r="M20" i="25"/>
  <c r="N20" i="25"/>
  <c r="R20" i="25"/>
  <c r="I20" i="25"/>
  <c r="H20" i="25"/>
  <c r="Y20" i="25"/>
  <c r="AC18" i="22"/>
  <c r="AB18" i="16"/>
  <c r="Y19" i="19"/>
  <c r="M19" i="19"/>
  <c r="I19" i="19"/>
  <c r="R19" i="19"/>
  <c r="H19" i="19"/>
  <c r="N19" i="19"/>
  <c r="D19" i="19"/>
  <c r="AB18" i="17"/>
  <c r="AA18" i="19"/>
  <c r="AC17" i="17"/>
  <c r="Y16" i="18"/>
  <c r="M16" i="18"/>
  <c r="I16" i="18"/>
  <c r="R16" i="18"/>
  <c r="H16" i="18"/>
  <c r="N16" i="18"/>
  <c r="D16" i="18"/>
  <c r="AC15" i="26"/>
  <c r="AA16" i="17"/>
  <c r="AB16" i="21"/>
  <c r="AC14" i="26"/>
  <c r="AC14" i="18"/>
  <c r="M14" i="16"/>
  <c r="D14" i="16"/>
  <c r="Y14" i="16"/>
  <c r="H14" i="16"/>
  <c r="AK14" i="16" s="1"/>
  <c r="R14" i="16"/>
  <c r="N14" i="16"/>
  <c r="I14" i="16"/>
  <c r="AA14" i="17"/>
  <c r="N13" i="22"/>
  <c r="D13" i="22"/>
  <c r="Y13" i="22"/>
  <c r="M13" i="22"/>
  <c r="I13" i="22"/>
  <c r="R13" i="22"/>
  <c r="H13" i="22"/>
  <c r="I12" i="24"/>
  <c r="R12" i="24"/>
  <c r="H12" i="24"/>
  <c r="N12" i="24"/>
  <c r="D12" i="24"/>
  <c r="Y12" i="24"/>
  <c r="M12" i="24"/>
  <c r="AB12" i="18"/>
  <c r="D13" i="25"/>
  <c r="N13" i="25"/>
  <c r="I13" i="25"/>
  <c r="M13" i="25"/>
  <c r="H13" i="25"/>
  <c r="Y13" i="25"/>
  <c r="R13" i="25"/>
  <c r="AC12" i="19"/>
  <c r="N12" i="17"/>
  <c r="D12" i="17"/>
  <c r="Y12" i="17"/>
  <c r="M12" i="17"/>
  <c r="I12" i="17"/>
  <c r="R12" i="17"/>
  <c r="H12" i="17"/>
  <c r="Y11" i="18"/>
  <c r="M11" i="18"/>
  <c r="I11" i="18"/>
  <c r="R11" i="18"/>
  <c r="H11" i="18"/>
  <c r="AK11" i="18" s="1"/>
  <c r="N11" i="18"/>
  <c r="D11" i="18"/>
  <c r="R11" i="19"/>
  <c r="H11" i="19"/>
  <c r="N11" i="19"/>
  <c r="D11" i="19"/>
  <c r="Y11" i="19"/>
  <c r="M11" i="19"/>
  <c r="I11" i="19"/>
  <c r="AA11" i="19"/>
  <c r="AB11" i="19"/>
  <c r="AC9" i="26"/>
  <c r="AC9" i="18"/>
  <c r="AA39" i="23"/>
  <c r="AA29" i="22"/>
  <c r="AC32" i="20"/>
  <c r="N33" i="20"/>
  <c r="I33" i="20"/>
  <c r="D33" i="20"/>
  <c r="Y33" i="20"/>
  <c r="H33" i="20"/>
  <c r="M33" i="20"/>
  <c r="R33" i="20"/>
  <c r="N33" i="18"/>
  <c r="D33" i="18"/>
  <c r="I33" i="18"/>
  <c r="R33" i="18"/>
  <c r="H33" i="18"/>
  <c r="Y33" i="18"/>
  <c r="M33" i="18"/>
  <c r="AC34" i="18"/>
  <c r="AC36" i="20"/>
  <c r="R38" i="20"/>
  <c r="I38" i="20"/>
  <c r="Y38" i="20"/>
  <c r="H38" i="20"/>
  <c r="D38" i="20"/>
  <c r="M38" i="20"/>
  <c r="N38" i="20"/>
  <c r="AC11" i="15"/>
  <c r="AC32" i="18"/>
  <c r="AA33" i="18"/>
  <c r="N35" i="25"/>
  <c r="I35" i="25"/>
  <c r="D35" i="25"/>
  <c r="R35" i="25"/>
  <c r="H35" i="25"/>
  <c r="Y35" i="25"/>
  <c r="M35" i="25"/>
  <c r="AC34" i="22"/>
  <c r="AC35" i="22"/>
  <c r="AB36" i="18"/>
  <c r="AC38" i="22"/>
  <c r="AB31" i="20"/>
  <c r="AB30" i="18"/>
  <c r="AC31" i="16"/>
  <c r="R34" i="23"/>
  <c r="Y34" i="23"/>
  <c r="H34" i="23"/>
  <c r="D34" i="23"/>
  <c r="M34" i="23"/>
  <c r="I34" i="23"/>
  <c r="N34" i="23"/>
  <c r="AA36" i="21"/>
  <c r="AD36" i="21" s="1"/>
  <c r="AB36" i="25"/>
  <c r="AC37" i="17"/>
  <c r="N37" i="26"/>
  <c r="I37" i="26"/>
  <c r="D37" i="26"/>
  <c r="R37" i="26"/>
  <c r="Y37" i="26"/>
  <c r="H37" i="26"/>
  <c r="M37" i="26"/>
  <c r="AA38" i="26"/>
  <c r="AC39" i="24"/>
  <c r="AC37" i="19"/>
  <c r="N39" i="21"/>
  <c r="I39" i="21"/>
  <c r="D39" i="21"/>
  <c r="H39" i="21"/>
  <c r="Y39" i="21"/>
  <c r="R39" i="21"/>
  <c r="M39" i="21"/>
  <c r="AC36" i="24"/>
  <c r="AC30" i="19"/>
  <c r="AD30" i="19" s="1"/>
  <c r="C13" i="15"/>
  <c r="AF13" i="15" s="1"/>
  <c r="B12" i="15"/>
  <c r="E48" i="31"/>
  <c r="D46" i="31"/>
  <c r="D44" i="31"/>
  <c r="D34" i="31"/>
  <c r="D24" i="31"/>
  <c r="I43" i="31"/>
  <c r="A12" i="15"/>
  <c r="G22" i="31"/>
  <c r="AA33" i="19" s="1"/>
  <c r="K32" i="31"/>
  <c r="AB22" i="23" s="1"/>
  <c r="D6" i="36"/>
  <c r="H31" i="31"/>
  <c r="AB15" i="20" s="1"/>
  <c r="P44" i="17"/>
  <c r="F9" i="36"/>
  <c r="F8" i="36"/>
  <c r="F7" i="36"/>
  <c r="E45" i="31"/>
  <c r="F11" i="31"/>
  <c r="E7" i="36"/>
  <c r="F23" i="31"/>
  <c r="H21" i="31"/>
  <c r="AA15" i="20" s="1"/>
  <c r="G33" i="31"/>
  <c r="F10" i="36"/>
  <c r="AB15" i="23" l="1"/>
  <c r="AB36" i="23"/>
  <c r="AB22" i="20"/>
  <c r="AK35" i="25"/>
  <c r="AK36" i="16"/>
  <c r="AK12" i="25"/>
  <c r="AK23" i="20"/>
  <c r="AK30" i="17"/>
  <c r="AK33" i="23"/>
  <c r="AK9" i="23"/>
  <c r="AK11" i="20"/>
  <c r="AK16" i="21"/>
  <c r="AK35" i="19"/>
  <c r="AK24" i="20"/>
  <c r="AA12" i="19"/>
  <c r="AD12" i="19" s="1"/>
  <c r="Z12" i="19" s="1"/>
  <c r="AI12" i="19" s="1"/>
  <c r="AA26" i="19"/>
  <c r="AD26" i="19" s="1"/>
  <c r="AB29" i="23"/>
  <c r="AD13" i="20"/>
  <c r="AB29" i="20"/>
  <c r="AA22" i="20"/>
  <c r="AK38" i="22"/>
  <c r="AK18" i="26"/>
  <c r="AK34" i="23"/>
  <c r="AK24" i="26"/>
  <c r="AA36" i="20"/>
  <c r="AK11" i="23"/>
  <c r="AK37" i="23"/>
  <c r="AK31" i="17"/>
  <c r="AK29" i="23"/>
  <c r="AK11" i="26"/>
  <c r="AK17" i="16"/>
  <c r="AK21" i="26"/>
  <c r="AK28" i="23"/>
  <c r="AK33" i="19"/>
  <c r="AK20" i="22"/>
  <c r="AD13" i="23"/>
  <c r="AK21" i="21"/>
  <c r="AA19" i="19"/>
  <c r="AD19" i="19" s="1"/>
  <c r="Z19" i="19" s="1"/>
  <c r="AI19" i="19" s="1"/>
  <c r="AK13" i="25"/>
  <c r="AK38" i="17"/>
  <c r="AK21" i="24"/>
  <c r="AK32" i="23"/>
  <c r="AK33" i="18"/>
  <c r="AK11" i="19"/>
  <c r="AK13" i="22"/>
  <c r="AK24" i="25"/>
  <c r="AK13" i="17"/>
  <c r="AK37" i="21"/>
  <c r="AK37" i="16"/>
  <c r="AK16" i="25"/>
  <c r="AK25" i="18"/>
  <c r="AK36" i="19"/>
  <c r="AK14" i="19"/>
  <c r="AK24" i="23"/>
  <c r="AK11" i="22"/>
  <c r="AK29" i="17"/>
  <c r="AK20" i="26"/>
  <c r="AK9" i="18"/>
  <c r="AK18" i="20"/>
  <c r="AK38" i="25"/>
  <c r="AK19" i="18"/>
  <c r="AK17" i="18"/>
  <c r="AK18" i="22"/>
  <c r="AK37" i="18"/>
  <c r="AK22" i="26"/>
  <c r="AK9" i="22"/>
  <c r="AK14" i="24"/>
  <c r="AK30" i="21"/>
  <c r="AK28" i="18"/>
  <c r="AK38" i="18"/>
  <c r="AK26" i="19"/>
  <c r="AK31" i="23"/>
  <c r="AK18" i="25"/>
  <c r="AK26" i="18"/>
  <c r="AK14" i="22"/>
  <c r="AK16" i="22"/>
  <c r="AK23" i="19"/>
  <c r="AK15" i="18"/>
  <c r="AK36" i="22"/>
  <c r="AK13" i="20"/>
  <c r="AK28" i="17"/>
  <c r="AK22" i="22"/>
  <c r="AK21" i="18"/>
  <c r="AK26" i="25"/>
  <c r="AK29" i="18"/>
  <c r="AD35" i="25"/>
  <c r="AK24" i="18"/>
  <c r="AK34" i="19"/>
  <c r="AK34" i="21"/>
  <c r="AD27" i="22"/>
  <c r="AD25" i="20"/>
  <c r="AK16" i="18"/>
  <c r="AK28" i="24"/>
  <c r="AK30" i="23"/>
  <c r="AK24" i="16"/>
  <c r="AK33" i="22"/>
  <c r="AK35" i="23"/>
  <c r="AD30" i="23"/>
  <c r="AK32" i="22"/>
  <c r="AK18" i="24"/>
  <c r="AK28" i="22"/>
  <c r="AK23" i="25"/>
  <c r="AK26" i="20"/>
  <c r="AK35" i="17"/>
  <c r="AK39" i="24"/>
  <c r="AK30" i="19"/>
  <c r="AK28" i="25"/>
  <c r="AK25" i="23"/>
  <c r="AK9" i="20"/>
  <c r="AK27" i="22"/>
  <c r="AK35" i="16"/>
  <c r="AK31" i="25"/>
  <c r="AK29" i="20"/>
  <c r="AK12" i="22"/>
  <c r="AK16" i="16"/>
  <c r="AK27" i="18"/>
  <c r="AK26" i="17"/>
  <c r="AK15" i="19"/>
  <c r="AK23" i="26"/>
  <c r="AK36" i="17"/>
  <c r="AK25" i="17"/>
  <c r="AD18" i="25"/>
  <c r="AK27" i="24"/>
  <c r="AK34" i="17"/>
  <c r="AK13" i="26"/>
  <c r="AK22" i="17"/>
  <c r="AK9" i="17"/>
  <c r="AK16" i="26"/>
  <c r="AK12" i="21"/>
  <c r="AK29" i="22"/>
  <c r="AK15" i="22"/>
  <c r="AK24" i="17"/>
  <c r="AK38" i="26"/>
  <c r="AK25" i="20"/>
  <c r="AK27" i="26"/>
  <c r="AK39" i="23"/>
  <c r="AK16" i="20"/>
  <c r="AK31" i="19"/>
  <c r="AD30" i="22"/>
  <c r="Z30" i="22" s="1"/>
  <c r="AI30" i="22" s="1"/>
  <c r="AK26" i="22"/>
  <c r="AK28" i="19"/>
  <c r="AK21" i="17"/>
  <c r="AK24" i="19"/>
  <c r="AK28" i="21"/>
  <c r="AK33" i="17"/>
  <c r="AK34" i="24"/>
  <c r="AK36" i="25"/>
  <c r="AK27" i="25"/>
  <c r="AK12" i="19"/>
  <c r="AK14" i="18"/>
  <c r="AK15" i="21"/>
  <c r="AK28" i="16"/>
  <c r="AK9" i="16"/>
  <c r="AK32" i="16"/>
  <c r="AK33" i="16"/>
  <c r="AK29" i="21"/>
  <c r="AK39" i="19"/>
  <c r="AK39" i="21"/>
  <c r="AK13" i="16"/>
  <c r="AK34" i="18"/>
  <c r="AD24" i="26"/>
  <c r="Z24" i="26" s="1"/>
  <c r="AI24" i="26" s="1"/>
  <c r="AK12" i="16"/>
  <c r="AK32" i="17"/>
  <c r="AK33" i="20"/>
  <c r="AK37" i="17"/>
  <c r="AK32" i="24"/>
  <c r="AK29" i="24"/>
  <c r="AK11" i="17"/>
  <c r="AK32" i="18"/>
  <c r="AK32" i="25"/>
  <c r="AK22" i="25"/>
  <c r="AK24" i="24"/>
  <c r="AK29" i="26"/>
  <c r="AK14" i="23"/>
  <c r="AK31" i="22"/>
  <c r="AK25" i="21"/>
  <c r="AK37" i="26"/>
  <c r="AK30" i="20"/>
  <c r="AK11" i="21"/>
  <c r="AK25" i="25"/>
  <c r="AK35" i="18"/>
  <c r="AK33" i="25"/>
  <c r="AK37" i="24"/>
  <c r="AK27" i="21"/>
  <c r="AK13" i="19"/>
  <c r="AK24" i="21"/>
  <c r="AK27" i="23"/>
  <c r="AK18" i="19"/>
  <c r="AK23" i="24"/>
  <c r="AK13" i="24"/>
  <c r="AK21" i="23"/>
  <c r="AK32" i="19"/>
  <c r="AK27" i="17"/>
  <c r="AK9" i="26"/>
  <c r="AK14" i="17"/>
  <c r="AK14" i="26"/>
  <c r="AK17" i="26"/>
  <c r="AK23" i="17"/>
  <c r="AK14" i="20"/>
  <c r="AK15" i="17"/>
  <c r="AK34" i="16"/>
  <c r="AK10" i="26"/>
  <c r="AK18" i="21"/>
  <c r="AK35" i="26"/>
  <c r="AK23" i="18"/>
  <c r="AK35" i="22"/>
  <c r="AK22" i="24"/>
  <c r="AK26" i="23"/>
  <c r="AK16" i="24"/>
  <c r="AK29" i="16"/>
  <c r="AK38" i="19"/>
  <c r="AK12" i="20"/>
  <c r="AK21" i="20"/>
  <c r="AK23" i="23"/>
  <c r="AK28" i="26"/>
  <c r="AK37" i="19"/>
  <c r="AK36" i="26"/>
  <c r="AK21" i="25"/>
  <c r="AK26" i="26"/>
  <c r="AK36" i="23"/>
  <c r="AK15" i="24"/>
  <c r="AK18" i="16"/>
  <c r="AK17" i="23"/>
  <c r="AD22" i="25"/>
  <c r="AK26" i="21"/>
  <c r="AK22" i="21"/>
  <c r="AK25" i="16"/>
  <c r="AK9" i="21"/>
  <c r="AK23" i="22"/>
  <c r="AK35" i="20"/>
  <c r="AK29" i="19"/>
  <c r="AK11" i="16"/>
  <c r="AK30" i="26"/>
  <c r="AK27" i="16"/>
  <c r="AK25" i="24"/>
  <c r="AK25" i="26"/>
  <c r="AK28" i="20"/>
  <c r="AK12" i="17"/>
  <c r="AK13" i="18"/>
  <c r="AK11" i="25"/>
  <c r="AK25" i="19"/>
  <c r="AK31" i="24"/>
  <c r="AK12" i="18"/>
  <c r="AK27" i="19"/>
  <c r="AK31" i="20"/>
  <c r="AK31" i="16"/>
  <c r="AK31" i="21"/>
  <c r="AK38" i="21"/>
  <c r="AK36" i="21"/>
  <c r="AK12" i="26"/>
  <c r="AD21" i="16"/>
  <c r="AK21" i="22"/>
  <c r="AK22" i="18"/>
  <c r="AK32" i="21"/>
  <c r="AK34" i="25"/>
  <c r="AK24" i="22"/>
  <c r="AD37" i="23"/>
  <c r="Z37" i="23" s="1"/>
  <c r="AI37" i="23" s="1"/>
  <c r="AK12" i="23"/>
  <c r="AK17" i="20"/>
  <c r="AK31" i="26"/>
  <c r="AD38" i="17"/>
  <c r="AD14" i="16"/>
  <c r="AD24" i="23"/>
  <c r="Z24" i="23" s="1"/>
  <c r="AI24" i="23" s="1"/>
  <c r="AK38" i="20"/>
  <c r="AK22" i="16"/>
  <c r="AK33" i="21"/>
  <c r="AK12" i="24"/>
  <c r="AK27" i="20"/>
  <c r="AK13" i="23"/>
  <c r="AK26" i="24"/>
  <c r="AK31" i="18"/>
  <c r="AK37" i="20"/>
  <c r="AK39" i="22"/>
  <c r="AK22" i="23"/>
  <c r="AK34" i="22"/>
  <c r="AK36" i="20"/>
  <c r="AK17" i="19"/>
  <c r="AK36" i="24"/>
  <c r="AK15" i="25"/>
  <c r="AK22" i="19"/>
  <c r="AK10" i="20"/>
  <c r="AK30" i="24"/>
  <c r="AK18" i="18"/>
  <c r="AK30" i="18"/>
  <c r="AK37" i="22"/>
  <c r="AK39" i="17"/>
  <c r="AK10" i="21"/>
  <c r="AK20" i="24"/>
  <c r="AK10" i="16"/>
  <c r="AK20" i="16"/>
  <c r="AK10" i="18"/>
  <c r="AK17" i="25"/>
  <c r="AK33" i="24"/>
  <c r="AK10" i="23"/>
  <c r="AD13" i="18"/>
  <c r="AK20" i="18"/>
  <c r="AK19" i="26"/>
  <c r="AK10" i="24"/>
  <c r="AD26" i="25"/>
  <c r="AD28" i="24"/>
  <c r="AK17" i="21"/>
  <c r="AK17" i="17"/>
  <c r="AK10" i="25"/>
  <c r="AK17" i="24"/>
  <c r="AK10" i="19"/>
  <c r="AK16" i="17"/>
  <c r="AK10" i="22"/>
  <c r="AK19" i="23"/>
  <c r="AK19" i="21"/>
  <c r="AK19" i="17"/>
  <c r="AK20" i="25"/>
  <c r="AK20" i="21"/>
  <c r="AK20" i="20"/>
  <c r="AK19" i="16"/>
  <c r="AK19" i="20"/>
  <c r="AK19" i="22"/>
  <c r="AK19" i="24"/>
  <c r="AK19" i="19"/>
  <c r="AK19" i="25"/>
  <c r="AK17" i="22"/>
  <c r="AD31" i="23"/>
  <c r="Z31" i="23" s="1"/>
  <c r="AI31" i="23" s="1"/>
  <c r="AD31" i="18"/>
  <c r="AD34" i="19"/>
  <c r="AD38" i="23"/>
  <c r="Z38" i="23" s="1"/>
  <c r="AI38" i="23" s="1"/>
  <c r="AD39" i="25"/>
  <c r="Z39" i="25" s="1"/>
  <c r="AI39" i="25" s="1"/>
  <c r="AD12" i="25"/>
  <c r="Z12" i="25" s="1"/>
  <c r="AI12" i="25" s="1"/>
  <c r="AD23" i="19"/>
  <c r="Z23" i="19" s="1"/>
  <c r="AI23" i="19" s="1"/>
  <c r="AD33" i="18"/>
  <c r="Z33" i="18" s="1"/>
  <c r="AI33" i="18" s="1"/>
  <c r="AD38" i="16"/>
  <c r="Z38" i="16" s="1"/>
  <c r="AI38" i="16" s="1"/>
  <c r="AD30" i="17"/>
  <c r="Z30" i="17" s="1"/>
  <c r="AI30" i="17" s="1"/>
  <c r="AD34" i="17"/>
  <c r="Z34" i="17" s="1"/>
  <c r="AI34" i="17" s="1"/>
  <c r="AD30" i="26"/>
  <c r="Z30" i="26" s="1"/>
  <c r="AI30" i="26" s="1"/>
  <c r="AD25" i="18"/>
  <c r="Z25" i="18" s="1"/>
  <c r="AI25" i="18" s="1"/>
  <c r="AD33" i="21"/>
  <c r="Z33" i="21" s="1"/>
  <c r="AI33" i="21" s="1"/>
  <c r="AD17" i="18"/>
  <c r="Z17" i="18" s="1"/>
  <c r="AI17" i="18" s="1"/>
  <c r="AD18" i="20"/>
  <c r="Z18" i="20" s="1"/>
  <c r="AI18" i="20" s="1"/>
  <c r="AD38" i="24"/>
  <c r="Z38" i="24" s="1"/>
  <c r="AI38" i="24" s="1"/>
  <c r="AD39" i="19"/>
  <c r="Z39" i="19" s="1"/>
  <c r="AI39" i="19" s="1"/>
  <c r="AD9" i="21"/>
  <c r="Z9" i="21" s="1"/>
  <c r="AI9" i="21" s="1"/>
  <c r="AD25" i="19"/>
  <c r="Z25" i="19" s="1"/>
  <c r="AI25" i="19" s="1"/>
  <c r="AD32" i="16"/>
  <c r="Z32" i="16" s="1"/>
  <c r="AI32" i="16" s="1"/>
  <c r="AD19" i="25"/>
  <c r="Z19" i="25" s="1"/>
  <c r="AI19" i="25" s="1"/>
  <c r="AD24" i="18"/>
  <c r="Z24" i="18" s="1"/>
  <c r="AI24" i="18" s="1"/>
  <c r="AD14" i="22"/>
  <c r="Z14" i="22" s="1"/>
  <c r="AI14" i="22" s="1"/>
  <c r="AD16" i="18"/>
  <c r="Z16" i="18" s="1"/>
  <c r="AI16" i="18" s="1"/>
  <c r="AD27" i="26"/>
  <c r="Z27" i="26" s="1"/>
  <c r="AI27" i="26" s="1"/>
  <c r="AD11" i="18"/>
  <c r="Z11" i="18" s="1"/>
  <c r="AI11" i="18" s="1"/>
  <c r="AD31" i="21"/>
  <c r="Z31" i="21" s="1"/>
  <c r="AI31" i="21" s="1"/>
  <c r="AD32" i="20"/>
  <c r="Z32" i="20" s="1"/>
  <c r="AI32" i="20" s="1"/>
  <c r="AD25" i="21"/>
  <c r="Z25" i="21" s="1"/>
  <c r="AI25" i="21" s="1"/>
  <c r="AD34" i="20"/>
  <c r="Z34" i="20" s="1"/>
  <c r="AI34" i="20" s="1"/>
  <c r="AD37" i="24"/>
  <c r="Z37" i="24" s="1"/>
  <c r="AI37" i="24" s="1"/>
  <c r="AD24" i="20"/>
  <c r="Z24" i="20" s="1"/>
  <c r="AI24" i="20" s="1"/>
  <c r="AD32" i="23"/>
  <c r="Z32" i="23" s="1"/>
  <c r="AI32" i="23" s="1"/>
  <c r="AD29" i="24"/>
  <c r="Z29" i="24" s="1"/>
  <c r="AI29" i="24" s="1"/>
  <c r="AD12" i="20"/>
  <c r="Z12" i="20" s="1"/>
  <c r="AI12" i="20" s="1"/>
  <c r="AD28" i="22"/>
  <c r="Z28" i="22" s="1"/>
  <c r="AI28" i="22" s="1"/>
  <c r="AD14" i="20"/>
  <c r="Z14" i="20" s="1"/>
  <c r="AI14" i="20" s="1"/>
  <c r="AD29" i="17"/>
  <c r="Z29" i="17" s="1"/>
  <c r="AI29" i="17" s="1"/>
  <c r="AD36" i="17"/>
  <c r="Z36" i="17" s="1"/>
  <c r="AI36" i="17" s="1"/>
  <c r="AD32" i="18"/>
  <c r="Z32" i="18" s="1"/>
  <c r="AI32" i="18" s="1"/>
  <c r="AD21" i="18"/>
  <c r="Z21" i="18" s="1"/>
  <c r="AI21" i="18" s="1"/>
  <c r="AD39" i="18"/>
  <c r="Z39" i="18" s="1"/>
  <c r="AI39" i="18" s="1"/>
  <c r="AD9" i="17"/>
  <c r="Z9" i="17" s="1"/>
  <c r="AI9" i="17" s="1"/>
  <c r="AD26" i="26"/>
  <c r="Z26" i="26" s="1"/>
  <c r="AI26" i="26" s="1"/>
  <c r="AD34" i="23"/>
  <c r="Z34" i="23" s="1"/>
  <c r="AI34" i="23" s="1"/>
  <c r="AD29" i="20"/>
  <c r="Z29" i="20" s="1"/>
  <c r="AI29" i="20" s="1"/>
  <c r="AD37" i="26"/>
  <c r="Z37" i="26" s="1"/>
  <c r="AI37" i="26" s="1"/>
  <c r="AD26" i="23"/>
  <c r="Z26" i="23" s="1"/>
  <c r="AI26" i="23" s="1"/>
  <c r="AD28" i="17"/>
  <c r="Z28" i="17" s="1"/>
  <c r="AI28" i="17" s="1"/>
  <c r="AD27" i="16"/>
  <c r="Z27" i="16" s="1"/>
  <c r="AI27" i="16" s="1"/>
  <c r="AD33" i="25"/>
  <c r="Z33" i="25" s="1"/>
  <c r="AI33" i="25" s="1"/>
  <c r="AD21" i="25"/>
  <c r="Z21" i="25" s="1"/>
  <c r="AI21" i="25" s="1"/>
  <c r="AD22" i="24"/>
  <c r="Z22" i="24" s="1"/>
  <c r="AI22" i="24" s="1"/>
  <c r="AD27" i="20"/>
  <c r="Z27" i="20" s="1"/>
  <c r="AI27" i="20" s="1"/>
  <c r="AD32" i="21"/>
  <c r="Z32" i="21" s="1"/>
  <c r="AI32" i="21" s="1"/>
  <c r="AD12" i="17"/>
  <c r="Z12" i="17" s="1"/>
  <c r="AI12" i="17" s="1"/>
  <c r="AD35" i="24"/>
  <c r="Z35" i="24" s="1"/>
  <c r="AI35" i="24" s="1"/>
  <c r="AD35" i="20"/>
  <c r="Z35" i="20" s="1"/>
  <c r="AI35" i="20" s="1"/>
  <c r="AD31" i="24"/>
  <c r="Z31" i="24" s="1"/>
  <c r="AI31" i="24" s="1"/>
  <c r="AD20" i="23"/>
  <c r="Z20" i="23" s="1"/>
  <c r="AI20" i="23" s="1"/>
  <c r="AD16" i="21"/>
  <c r="Z16" i="21" s="1"/>
  <c r="AI16" i="21" s="1"/>
  <c r="AD14" i="17"/>
  <c r="Z14" i="17" s="1"/>
  <c r="AI14" i="17" s="1"/>
  <c r="AD11" i="17"/>
  <c r="Z11" i="17" s="1"/>
  <c r="AI11" i="17" s="1"/>
  <c r="AD27" i="23"/>
  <c r="Z27" i="23" s="1"/>
  <c r="AI27" i="23" s="1"/>
  <c r="AD14" i="25"/>
  <c r="Z14" i="25" s="1"/>
  <c r="AI14" i="25" s="1"/>
  <c r="AD28" i="25"/>
  <c r="Z28" i="25" s="1"/>
  <c r="AI28" i="25" s="1"/>
  <c r="AD17" i="21"/>
  <c r="Z17" i="21" s="1"/>
  <c r="AI17" i="21" s="1"/>
  <c r="AD22" i="17"/>
  <c r="Z22" i="17" s="1"/>
  <c r="AI22" i="17" s="1"/>
  <c r="AD11" i="23"/>
  <c r="Z11" i="23" s="1"/>
  <c r="AI11" i="23" s="1"/>
  <c r="AD17" i="19"/>
  <c r="Z17" i="19" s="1"/>
  <c r="AI17" i="19" s="1"/>
  <c r="AD28" i="16"/>
  <c r="Z28" i="16" s="1"/>
  <c r="AI28" i="16" s="1"/>
  <c r="AD11" i="26"/>
  <c r="Z11" i="26" s="1"/>
  <c r="AI11" i="26" s="1"/>
  <c r="AD16" i="17"/>
  <c r="Z16" i="17" s="1"/>
  <c r="AI16" i="17" s="1"/>
  <c r="AD26" i="22"/>
  <c r="Z26" i="22" s="1"/>
  <c r="AI26" i="22" s="1"/>
  <c r="AD9" i="16"/>
  <c r="Z9" i="16" s="1"/>
  <c r="AI9" i="16" s="1"/>
  <c r="AD17" i="20"/>
  <c r="Z17" i="20" s="1"/>
  <c r="AI17" i="20" s="1"/>
  <c r="AD32" i="25"/>
  <c r="Z32" i="25" s="1"/>
  <c r="AI32" i="25" s="1"/>
  <c r="AD10" i="18"/>
  <c r="Z10" i="18" s="1"/>
  <c r="AI10" i="18" s="1"/>
  <c r="AD23" i="21"/>
  <c r="Z23" i="21" s="1"/>
  <c r="AI23" i="21" s="1"/>
  <c r="AD20" i="19"/>
  <c r="Z20" i="19" s="1"/>
  <c r="AI20" i="19" s="1"/>
  <c r="AD35" i="16"/>
  <c r="Z35" i="16" s="1"/>
  <c r="AI35" i="16" s="1"/>
  <c r="AD13" i="19"/>
  <c r="Z13" i="19" s="1"/>
  <c r="AI13" i="19" s="1"/>
  <c r="AD29" i="22"/>
  <c r="Z29" i="22" s="1"/>
  <c r="AI29" i="22" s="1"/>
  <c r="AD13" i="26"/>
  <c r="Z13" i="26" s="1"/>
  <c r="AI13" i="26" s="1"/>
  <c r="AD17" i="16"/>
  <c r="Z17" i="16" s="1"/>
  <c r="AI17" i="16" s="1"/>
  <c r="AD15" i="22"/>
  <c r="Z15" i="22" s="1"/>
  <c r="AI15" i="22" s="1"/>
  <c r="AD21" i="22"/>
  <c r="Z21" i="22" s="1"/>
  <c r="AI21" i="22" s="1"/>
  <c r="AD12" i="16"/>
  <c r="Z12" i="16" s="1"/>
  <c r="AI12" i="16" s="1"/>
  <c r="AD13" i="17"/>
  <c r="Z13" i="17" s="1"/>
  <c r="AI13" i="17" s="1"/>
  <c r="AD10" i="20"/>
  <c r="Z10" i="20" s="1"/>
  <c r="AI10" i="20" s="1"/>
  <c r="AD13" i="22"/>
  <c r="Z13" i="22" s="1"/>
  <c r="AI13" i="22" s="1"/>
  <c r="AD26" i="18"/>
  <c r="Z26" i="18" s="1"/>
  <c r="AI26" i="18" s="1"/>
  <c r="AD22" i="22"/>
  <c r="Z22" i="22" s="1"/>
  <c r="AI22" i="22" s="1"/>
  <c r="AD22" i="20"/>
  <c r="Z22" i="20" s="1"/>
  <c r="AI22" i="20" s="1"/>
  <c r="AD13" i="25"/>
  <c r="Z13" i="25" s="1"/>
  <c r="AI13" i="25" s="1"/>
  <c r="AD18" i="17"/>
  <c r="Z18" i="17" s="1"/>
  <c r="AI18" i="17" s="1"/>
  <c r="AD20" i="18"/>
  <c r="Z20" i="18" s="1"/>
  <c r="AI20" i="18" s="1"/>
  <c r="AD14" i="24"/>
  <c r="Z14" i="24" s="1"/>
  <c r="AI14" i="24" s="1"/>
  <c r="AD15" i="24"/>
  <c r="Z15" i="24" s="1"/>
  <c r="AI15" i="24" s="1"/>
  <c r="AD25" i="23"/>
  <c r="Z25" i="23" s="1"/>
  <c r="AI25" i="23" s="1"/>
  <c r="AD13" i="16"/>
  <c r="Z13" i="16" s="1"/>
  <c r="AI13" i="16" s="1"/>
  <c r="AD39" i="16"/>
  <c r="Z39" i="16" s="1"/>
  <c r="AI39" i="16" s="1"/>
  <c r="AD33" i="20"/>
  <c r="Z33" i="20" s="1"/>
  <c r="AI33" i="20" s="1"/>
  <c r="AD26" i="21"/>
  <c r="Z26" i="21" s="1"/>
  <c r="AI26" i="21" s="1"/>
  <c r="AD35" i="18"/>
  <c r="Z35" i="18" s="1"/>
  <c r="AI35" i="18" s="1"/>
  <c r="AD24" i="17"/>
  <c r="AD38" i="18"/>
  <c r="Z38" i="18" s="1"/>
  <c r="AI38" i="18" s="1"/>
  <c r="AD18" i="16"/>
  <c r="Z18" i="16" s="1"/>
  <c r="AI18" i="16" s="1"/>
  <c r="AD33" i="19"/>
  <c r="Z33" i="19" s="1"/>
  <c r="AI33" i="19" s="1"/>
  <c r="AD29" i="25"/>
  <c r="Z29" i="25" s="1"/>
  <c r="AI29" i="25" s="1"/>
  <c r="AD36" i="16"/>
  <c r="Z36" i="16" s="1"/>
  <c r="AI36" i="16" s="1"/>
  <c r="AD35" i="17"/>
  <c r="Z35" i="17" s="1"/>
  <c r="AI35" i="17" s="1"/>
  <c r="AD16" i="23"/>
  <c r="Z16" i="23" s="1"/>
  <c r="AI16" i="23" s="1"/>
  <c r="AD19" i="22"/>
  <c r="Z19" i="22" s="1"/>
  <c r="AI19" i="22" s="1"/>
  <c r="AD23" i="18"/>
  <c r="Z23" i="18" s="1"/>
  <c r="AI23" i="18" s="1"/>
  <c r="AD18" i="18"/>
  <c r="Z18" i="18" s="1"/>
  <c r="AI18" i="18" s="1"/>
  <c r="AD32" i="17"/>
  <c r="Z32" i="17" s="1"/>
  <c r="AI32" i="17" s="1"/>
  <c r="AN34" i="26"/>
  <c r="Z26" i="17"/>
  <c r="AI26" i="17" s="1"/>
  <c r="AN32" i="26"/>
  <c r="AL11" i="21"/>
  <c r="AD24" i="19"/>
  <c r="Z24" i="19" s="1"/>
  <c r="AI24" i="19" s="1"/>
  <c r="AD16" i="16"/>
  <c r="Z16" i="16" s="1"/>
  <c r="AI16" i="16" s="1"/>
  <c r="AD23" i="26"/>
  <c r="Z23" i="26" s="1"/>
  <c r="AI23" i="26" s="1"/>
  <c r="AD10" i="16"/>
  <c r="Z10" i="16" s="1"/>
  <c r="AI10" i="16" s="1"/>
  <c r="AD18" i="23"/>
  <c r="Z18" i="23" s="1"/>
  <c r="AI18" i="23" s="1"/>
  <c r="AD20" i="26"/>
  <c r="Z20" i="26" s="1"/>
  <c r="AI20" i="26" s="1"/>
  <c r="AN33" i="26"/>
  <c r="AD10" i="15"/>
  <c r="AD28" i="18"/>
  <c r="Z28" i="18" s="1"/>
  <c r="AI28" i="18" s="1"/>
  <c r="AD11" i="21"/>
  <c r="Z11" i="21" s="1"/>
  <c r="AI11" i="21" s="1"/>
  <c r="Z29" i="21"/>
  <c r="AI29" i="21" s="1"/>
  <c r="AD16" i="26"/>
  <c r="Z16" i="26" s="1"/>
  <c r="AI16" i="26" s="1"/>
  <c r="Z22" i="25"/>
  <c r="AI22" i="25" s="1"/>
  <c r="Z36" i="21"/>
  <c r="AI36" i="21" s="1"/>
  <c r="AL13" i="17"/>
  <c r="AL23" i="20"/>
  <c r="AD20" i="17"/>
  <c r="Z20" i="17" s="1"/>
  <c r="AI20" i="17" s="1"/>
  <c r="AD33" i="16"/>
  <c r="Z33" i="16" s="1"/>
  <c r="AI33" i="16" s="1"/>
  <c r="AD15" i="21"/>
  <c r="Z15" i="21" s="1"/>
  <c r="AI15" i="21" s="1"/>
  <c r="AM14" i="21"/>
  <c r="AN39" i="26"/>
  <c r="AM22" i="25"/>
  <c r="AM31" i="17"/>
  <c r="AD20" i="16"/>
  <c r="Z20" i="16" s="1"/>
  <c r="AI20" i="16" s="1"/>
  <c r="AD16" i="20"/>
  <c r="Z16" i="20" s="1"/>
  <c r="AI16" i="20" s="1"/>
  <c r="AM31" i="16"/>
  <c r="AL17" i="20"/>
  <c r="AD27" i="18"/>
  <c r="Z27" i="18" s="1"/>
  <c r="AI27" i="18" s="1"/>
  <c r="AD39" i="23"/>
  <c r="Z39" i="23" s="1"/>
  <c r="AI39" i="23" s="1"/>
  <c r="AD37" i="16"/>
  <c r="Z37" i="16" s="1"/>
  <c r="AI37" i="16" s="1"/>
  <c r="AN9" i="25"/>
  <c r="H21" i="16"/>
  <c r="Z32" i="19"/>
  <c r="AI32" i="19" s="1"/>
  <c r="Z24" i="16"/>
  <c r="AI24" i="16" s="1"/>
  <c r="Z26" i="25"/>
  <c r="AI26" i="25" s="1"/>
  <c r="Z30" i="24"/>
  <c r="AI30" i="24" s="1"/>
  <c r="AD23" i="23"/>
  <c r="Z23" i="23" s="1"/>
  <c r="AI23" i="23" s="1"/>
  <c r="AD19" i="23"/>
  <c r="Z19" i="23" s="1"/>
  <c r="AI19" i="23" s="1"/>
  <c r="AD36" i="19"/>
  <c r="Z36" i="19" s="1"/>
  <c r="AI36" i="19" s="1"/>
  <c r="AD38" i="26"/>
  <c r="Z38" i="26" s="1"/>
  <c r="AI38" i="26" s="1"/>
  <c r="Z16" i="19"/>
  <c r="AI16" i="19" s="1"/>
  <c r="AD23" i="24"/>
  <c r="Z23" i="24" s="1"/>
  <c r="AI23" i="24" s="1"/>
  <c r="AM13" i="18"/>
  <c r="AL24" i="18"/>
  <c r="AD39" i="20"/>
  <c r="Z39" i="20" s="1"/>
  <c r="AI39" i="20" s="1"/>
  <c r="AL38" i="19"/>
  <c r="AM10" i="21"/>
  <c r="AM14" i="26"/>
  <c r="AM17" i="26"/>
  <c r="AD12" i="26"/>
  <c r="Z12" i="26" s="1"/>
  <c r="AI12" i="26" s="1"/>
  <c r="AD25" i="16"/>
  <c r="Z25" i="16" s="1"/>
  <c r="AI25" i="16" s="1"/>
  <c r="AD31" i="20"/>
  <c r="Z31" i="20" s="1"/>
  <c r="AI31" i="20" s="1"/>
  <c r="AD38" i="19"/>
  <c r="Z38" i="19" s="1"/>
  <c r="AI38" i="19" s="1"/>
  <c r="AD11" i="16"/>
  <c r="Z11" i="16" s="1"/>
  <c r="AI11" i="16" s="1"/>
  <c r="AL28" i="26"/>
  <c r="AL30" i="18"/>
  <c r="AL33" i="22"/>
  <c r="AL27" i="17"/>
  <c r="AM12" i="19"/>
  <c r="AD11" i="15"/>
  <c r="Z14" i="16"/>
  <c r="AI14" i="16" s="1"/>
  <c r="Z23" i="16"/>
  <c r="AI23" i="16" s="1"/>
  <c r="AL36" i="23"/>
  <c r="AK39" i="25"/>
  <c r="AM15" i="21"/>
  <c r="AM34" i="23"/>
  <c r="AL27" i="24"/>
  <c r="AM17" i="17"/>
  <c r="AL28" i="18"/>
  <c r="AM26" i="16"/>
  <c r="AM35" i="25"/>
  <c r="AL13" i="21"/>
  <c r="AL13" i="18"/>
  <c r="AL20" i="21"/>
  <c r="AM19" i="22"/>
  <c r="AL30" i="19"/>
  <c r="AM27" i="23"/>
  <c r="AM28" i="24"/>
  <c r="AL23" i="18"/>
  <c r="Z19" i="20"/>
  <c r="AI19" i="20" s="1"/>
  <c r="AM20" i="21"/>
  <c r="AL15" i="22"/>
  <c r="AM24" i="17"/>
  <c r="AL23" i="26"/>
  <c r="AM29" i="26"/>
  <c r="AL16" i="18"/>
  <c r="AL10" i="24"/>
  <c r="AM25" i="19"/>
  <c r="AM13" i="23"/>
  <c r="AM22" i="22"/>
  <c r="AL25" i="23"/>
  <c r="AL26" i="23"/>
  <c r="AM23" i="17"/>
  <c r="AL14" i="20"/>
  <c r="AM22" i="16"/>
  <c r="AM13" i="17"/>
  <c r="AL11" i="22"/>
  <c r="AL17" i="22"/>
  <c r="AM22" i="19"/>
  <c r="AK39" i="16"/>
  <c r="AD11" i="20"/>
  <c r="Z11" i="20" s="1"/>
  <c r="AI11" i="20" s="1"/>
  <c r="AM33" i="18"/>
  <c r="AM25" i="22"/>
  <c r="AL26" i="18"/>
  <c r="AM39" i="19"/>
  <c r="AL28" i="24"/>
  <c r="AM30" i="21"/>
  <c r="AL32" i="22"/>
  <c r="AL38" i="17"/>
  <c r="AM22" i="21"/>
  <c r="AM33" i="24"/>
  <c r="AL38" i="24"/>
  <c r="AL24" i="20"/>
  <c r="AL31" i="23"/>
  <c r="AL36" i="25"/>
  <c r="AM22" i="18"/>
  <c r="AL25" i="25"/>
  <c r="AL35" i="16"/>
  <c r="AL29" i="20"/>
  <c r="Z35" i="25"/>
  <c r="AI35" i="25" s="1"/>
  <c r="AM20" i="26"/>
  <c r="AM39" i="18"/>
  <c r="AM18" i="19"/>
  <c r="AM20" i="19"/>
  <c r="AL34" i="19"/>
  <c r="AL23" i="21"/>
  <c r="AM36" i="22"/>
  <c r="AL12" i="25"/>
  <c r="AL34" i="17"/>
  <c r="AM34" i="17"/>
  <c r="AM18" i="23"/>
  <c r="AM31" i="20"/>
  <c r="AL34" i="22"/>
  <c r="AM34" i="21"/>
  <c r="AL18" i="22"/>
  <c r="AM26" i="25"/>
  <c r="AM15" i="23"/>
  <c r="AL31" i="25"/>
  <c r="AL34" i="25"/>
  <c r="AL12" i="19"/>
  <c r="AL36" i="17"/>
  <c r="AM35" i="17"/>
  <c r="AL33" i="20"/>
  <c r="AM13" i="25"/>
  <c r="AL37" i="25"/>
  <c r="AL9" i="18"/>
  <c r="Y40" i="16"/>
  <c r="Z16" i="22"/>
  <c r="AI16" i="22" s="1"/>
  <c r="AM21" i="26"/>
  <c r="AM12" i="16"/>
  <c r="AM16" i="21"/>
  <c r="AM29" i="17"/>
  <c r="AM26" i="19"/>
  <c r="AM26" i="24"/>
  <c r="AL30" i="20"/>
  <c r="AM29" i="19"/>
  <c r="AL17" i="24"/>
  <c r="AM23" i="20"/>
  <c r="AL22" i="22"/>
  <c r="AM28" i="22"/>
  <c r="AL13" i="16"/>
  <c r="AM18" i="26"/>
  <c r="AM27" i="22"/>
  <c r="AL25" i="24"/>
  <c r="AM16" i="25"/>
  <c r="AM38" i="26"/>
  <c r="AL21" i="25"/>
  <c r="AM9" i="26"/>
  <c r="AM14" i="18"/>
  <c r="AM34" i="16"/>
  <c r="AM19" i="25"/>
  <c r="AL32" i="16"/>
  <c r="Z28" i="24"/>
  <c r="AI28" i="24" s="1"/>
  <c r="AD16" i="24"/>
  <c r="Z16" i="24" s="1"/>
  <c r="AI16" i="24" s="1"/>
  <c r="AL12" i="16"/>
  <c r="AL18" i="20"/>
  <c r="AM27" i="18"/>
  <c r="AM27" i="20"/>
  <c r="AL38" i="18"/>
  <c r="AL14" i="19"/>
  <c r="AM37" i="21"/>
  <c r="AL21" i="17"/>
  <c r="AL21" i="23"/>
  <c r="AM27" i="19"/>
  <c r="AL15" i="20"/>
  <c r="AM15" i="25"/>
  <c r="Z18" i="25"/>
  <c r="AI18" i="25" s="1"/>
  <c r="AL9" i="22"/>
  <c r="AL18" i="17"/>
  <c r="AM32" i="25"/>
  <c r="AM34" i="25"/>
  <c r="AL9" i="26"/>
  <c r="AL14" i="24"/>
  <c r="AM12" i="22"/>
  <c r="AL16" i="20"/>
  <c r="AL33" i="19"/>
  <c r="AM17" i="23"/>
  <c r="AM26" i="20"/>
  <c r="AM39" i="21"/>
  <c r="Y40" i="19"/>
  <c r="AM12" i="17"/>
  <c r="AM30" i="22"/>
  <c r="AM35" i="18"/>
  <c r="AL21" i="26"/>
  <c r="AL11" i="25"/>
  <c r="AL25" i="16"/>
  <c r="AM12" i="21"/>
  <c r="AM21" i="18"/>
  <c r="AL34" i="24"/>
  <c r="AM36" i="25"/>
  <c r="AL12" i="20"/>
  <c r="AL35" i="22"/>
  <c r="AM28" i="16"/>
  <c r="AL30" i="26"/>
  <c r="AM39" i="20"/>
  <c r="AM10" i="26"/>
  <c r="F57" i="19"/>
  <c r="AD18" i="19"/>
  <c r="Z18" i="19" s="1"/>
  <c r="AI18" i="19" s="1"/>
  <c r="Z35" i="19"/>
  <c r="AI35" i="19" s="1"/>
  <c r="AM14" i="22"/>
  <c r="AD19" i="21"/>
  <c r="Z19" i="21" s="1"/>
  <c r="AI19" i="21" s="1"/>
  <c r="AM22" i="24"/>
  <c r="AL24" i="26"/>
  <c r="AL36" i="16"/>
  <c r="AL16" i="17"/>
  <c r="AL33" i="21"/>
  <c r="Z31" i="18"/>
  <c r="AI31" i="18" s="1"/>
  <c r="AL31" i="18"/>
  <c r="AM37" i="16"/>
  <c r="AM13" i="19"/>
  <c r="AM26" i="22"/>
  <c r="AM28" i="17"/>
  <c r="AM33" i="25"/>
  <c r="AM28" i="21"/>
  <c r="AL16" i="24"/>
  <c r="AM17" i="18"/>
  <c r="AL38" i="21"/>
  <c r="AM38" i="22"/>
  <c r="AL9" i="20"/>
  <c r="AL21" i="21"/>
  <c r="AL22" i="26"/>
  <c r="AM24" i="16"/>
  <c r="AM30" i="24"/>
  <c r="AM19" i="17"/>
  <c r="AL19" i="16"/>
  <c r="AL27" i="25"/>
  <c r="AM16" i="23"/>
  <c r="AM37" i="19"/>
  <c r="AL38" i="16"/>
  <c r="AD10" i="19"/>
  <c r="Z10" i="19" s="1"/>
  <c r="AI10" i="19" s="1"/>
  <c r="AL25" i="20"/>
  <c r="AL32" i="17"/>
  <c r="AM32" i="23"/>
  <c r="AM25" i="18"/>
  <c r="AL38" i="25"/>
  <c r="AM10" i="25"/>
  <c r="AM35" i="20"/>
  <c r="AL37" i="16"/>
  <c r="AL11" i="26"/>
  <c r="AM30" i="17"/>
  <c r="AL35" i="21"/>
  <c r="AM16" i="19"/>
  <c r="AM27" i="26"/>
  <c r="AM29" i="21"/>
  <c r="AM39" i="23"/>
  <c r="AM14" i="17"/>
  <c r="AL14" i="18"/>
  <c r="AL17" i="26"/>
  <c r="AM39" i="25"/>
  <c r="AD10" i="26"/>
  <c r="Z10" i="26" s="1"/>
  <c r="AI10" i="26" s="1"/>
  <c r="AL28" i="20"/>
  <c r="AL29" i="25"/>
  <c r="AL31" i="26"/>
  <c r="AL39" i="21"/>
  <c r="AM37" i="26"/>
  <c r="AL38" i="20"/>
  <c r="AL20" i="25"/>
  <c r="AB40" i="18"/>
  <c r="AL35" i="25"/>
  <c r="AM33" i="20"/>
  <c r="AL12" i="24"/>
  <c r="AL13" i="22"/>
  <c r="AM13" i="22"/>
  <c r="AL14" i="16"/>
  <c r="AM26" i="21"/>
  <c r="AL11" i="19"/>
  <c r="AM11" i="18"/>
  <c r="AM12" i="24"/>
  <c r="AL20" i="26"/>
  <c r="Z24" i="21"/>
  <c r="AI24" i="21" s="1"/>
  <c r="AL39" i="18"/>
  <c r="AL20" i="16"/>
  <c r="AL22" i="24"/>
  <c r="AM23" i="16"/>
  <c r="AL16" i="21"/>
  <c r="AL17" i="17"/>
  <c r="AL19" i="24"/>
  <c r="AM24" i="26"/>
  <c r="AL30" i="21"/>
  <c r="AL18" i="24"/>
  <c r="AD21" i="20"/>
  <c r="Z21" i="20" s="1"/>
  <c r="AI21" i="20" s="1"/>
  <c r="AM31" i="24"/>
  <c r="AB12" i="15"/>
  <c r="AM35" i="19"/>
  <c r="AL26" i="24"/>
  <c r="AL32" i="24"/>
  <c r="Z37" i="21"/>
  <c r="AI37" i="21" s="1"/>
  <c r="AM39" i="22"/>
  <c r="AL13" i="20"/>
  <c r="AL13" i="19"/>
  <c r="AM13" i="24"/>
  <c r="Z28" i="19"/>
  <c r="AI28" i="19" s="1"/>
  <c r="AM11" i="17"/>
  <c r="AM11" i="26"/>
  <c r="AM12" i="18"/>
  <c r="AL16" i="26"/>
  <c r="AL27" i="19"/>
  <c r="AL33" i="25"/>
  <c r="AM17" i="19"/>
  <c r="AM17" i="24"/>
  <c r="AM19" i="18"/>
  <c r="AL24" i="19"/>
  <c r="AL36" i="21"/>
  <c r="AM36" i="21"/>
  <c r="AM32" i="16"/>
  <c r="AL39" i="19"/>
  <c r="AM39" i="24"/>
  <c r="AM9" i="18"/>
  <c r="AM10" i="16"/>
  <c r="AM23" i="19"/>
  <c r="AM18" i="20"/>
  <c r="AM20" i="18"/>
  <c r="AL34" i="20"/>
  <c r="AC12" i="15"/>
  <c r="AL25" i="18"/>
  <c r="AL30" i="17"/>
  <c r="AM16" i="24"/>
  <c r="AL23" i="16"/>
  <c r="AM32" i="22"/>
  <c r="AM9" i="16"/>
  <c r="AM16" i="17"/>
  <c r="AL18" i="19"/>
  <c r="AL21" i="19"/>
  <c r="AL35" i="19"/>
  <c r="Z14" i="19"/>
  <c r="AI14" i="19" s="1"/>
  <c r="AM30" i="20"/>
  <c r="AL39" i="22"/>
  <c r="AL18" i="23"/>
  <c r="AM22" i="23"/>
  <c r="AL26" i="22"/>
  <c r="AM29" i="24"/>
  <c r="AL12" i="18"/>
  <c r="AM21" i="17"/>
  <c r="AL28" i="23"/>
  <c r="AL31" i="20"/>
  <c r="AM34" i="22"/>
  <c r="AL28" i="21"/>
  <c r="AL31" i="21"/>
  <c r="AL12" i="21"/>
  <c r="AL22" i="19"/>
  <c r="AL30" i="25"/>
  <c r="AM16" i="18"/>
  <c r="AM20" i="24"/>
  <c r="AL24" i="21"/>
  <c r="AL35" i="24"/>
  <c r="AL14" i="22"/>
  <c r="AM20" i="16"/>
  <c r="AM27" i="24"/>
  <c r="AD11" i="25"/>
  <c r="Z11" i="25" s="1"/>
  <c r="AI11" i="25" s="1"/>
  <c r="AM14" i="25"/>
  <c r="AM19" i="24"/>
  <c r="AM25" i="16"/>
  <c r="AL20" i="19"/>
  <c r="AM21" i="19"/>
  <c r="AM21" i="24"/>
  <c r="AL27" i="20"/>
  <c r="AM28" i="18"/>
  <c r="AM34" i="20"/>
  <c r="AM23" i="21"/>
  <c r="AM38" i="23"/>
  <c r="AM38" i="25"/>
  <c r="AL19" i="20"/>
  <c r="AL35" i="20"/>
  <c r="AL37" i="20"/>
  <c r="AM38" i="24"/>
  <c r="AM10" i="17"/>
  <c r="Z13" i="20"/>
  <c r="AI13" i="20" s="1"/>
  <c r="AM13" i="26"/>
  <c r="AL13" i="24"/>
  <c r="AM22" i="17"/>
  <c r="AL22" i="23"/>
  <c r="AL11" i="17"/>
  <c r="AM21" i="23"/>
  <c r="AL28" i="17"/>
  <c r="AM36" i="20"/>
  <c r="AM36" i="18"/>
  <c r="AL36" i="18"/>
  <c r="AM24" i="19"/>
  <c r="AM17" i="22"/>
  <c r="AL29" i="16"/>
  <c r="AD29" i="16"/>
  <c r="Z29" i="16" s="1"/>
  <c r="AI29" i="16" s="1"/>
  <c r="AL37" i="18"/>
  <c r="AM9" i="20"/>
  <c r="AM12" i="26"/>
  <c r="AM17" i="21"/>
  <c r="AD15" i="17"/>
  <c r="Z15" i="17" s="1"/>
  <c r="AI15" i="17" s="1"/>
  <c r="AM39" i="17"/>
  <c r="AM12" i="23"/>
  <c r="AM17" i="20"/>
  <c r="AL19" i="25"/>
  <c r="AL26" i="20"/>
  <c r="AM28" i="20"/>
  <c r="AL35" i="26"/>
  <c r="AM30" i="25"/>
  <c r="AM33" i="23"/>
  <c r="AL29" i="22"/>
  <c r="AM32" i="18"/>
  <c r="AM15" i="22"/>
  <c r="AL21" i="18"/>
  <c r="AL27" i="22"/>
  <c r="AM33" i="22"/>
  <c r="AM38" i="19"/>
  <c r="AL14" i="21"/>
  <c r="AM25" i="24"/>
  <c r="AL16" i="23"/>
  <c r="AL19" i="21"/>
  <c r="AM37" i="23"/>
  <c r="AL36" i="26"/>
  <c r="AL35" i="23"/>
  <c r="AM31" i="25"/>
  <c r="AM25" i="20"/>
  <c r="AL26" i="26"/>
  <c r="AL32" i="21"/>
  <c r="AL24" i="24"/>
  <c r="AL9" i="24"/>
  <c r="AM10" i="22"/>
  <c r="AM15" i="17"/>
  <c r="AM16" i="20"/>
  <c r="AL16" i="16"/>
  <c r="AL18" i="16"/>
  <c r="AL20" i="20"/>
  <c r="AL24" i="22"/>
  <c r="AM25" i="26"/>
  <c r="AL39" i="17"/>
  <c r="AL14" i="23"/>
  <c r="AL17" i="23"/>
  <c r="AL20" i="22"/>
  <c r="AL31" i="17"/>
  <c r="AD15" i="19"/>
  <c r="Z15" i="19" s="1"/>
  <c r="AI15" i="19" s="1"/>
  <c r="AL17" i="21"/>
  <c r="AD33" i="17"/>
  <c r="Z33" i="17" s="1"/>
  <c r="AI33" i="17" s="1"/>
  <c r="AM9" i="23"/>
  <c r="AM11" i="21"/>
  <c r="AL15" i="23"/>
  <c r="AM28" i="26"/>
  <c r="AM30" i="18"/>
  <c r="AL38" i="26"/>
  <c r="AD10" i="21"/>
  <c r="Z10" i="21" s="1"/>
  <c r="AI10" i="21" s="1"/>
  <c r="AL10" i="21"/>
  <c r="AM36" i="26"/>
  <c r="AM35" i="16"/>
  <c r="AM35" i="21"/>
  <c r="AL16" i="19"/>
  <c r="AL17" i="25"/>
  <c r="AM21" i="25"/>
  <c r="AL22" i="25"/>
  <c r="AM26" i="26"/>
  <c r="AL29" i="21"/>
  <c r="AM36" i="23"/>
  <c r="AL14" i="26"/>
  <c r="AL19" i="22"/>
  <c r="AL34" i="16"/>
  <c r="AL10" i="26"/>
  <c r="AM18" i="22"/>
  <c r="AM32" i="19"/>
  <c r="AL10" i="20"/>
  <c r="AD12" i="22"/>
  <c r="Z12" i="22" s="1"/>
  <c r="AI12" i="22" s="1"/>
  <c r="AM18" i="25"/>
  <c r="AL24" i="16"/>
  <c r="AD25" i="17"/>
  <c r="Z25" i="17" s="1"/>
  <c r="AI25" i="17" s="1"/>
  <c r="AL32" i="20"/>
  <c r="AM33" i="17"/>
  <c r="AM9" i="22"/>
  <c r="AM18" i="18"/>
  <c r="AM11" i="20"/>
  <c r="AL16" i="25"/>
  <c r="AM27" i="17"/>
  <c r="AM35" i="22"/>
  <c r="AL37" i="22"/>
  <c r="AM33" i="16"/>
  <c r="AM38" i="16"/>
  <c r="AD30" i="21"/>
  <c r="Z30" i="21" s="1"/>
  <c r="AI30" i="21" s="1"/>
  <c r="AM34" i="18"/>
  <c r="AM37" i="24"/>
  <c r="AL39" i="23"/>
  <c r="AM14" i="24"/>
  <c r="AL15" i="24"/>
  <c r="AM24" i="24"/>
  <c r="AM9" i="24"/>
  <c r="AL10" i="22"/>
  <c r="AM14" i="20"/>
  <c r="AL28" i="16"/>
  <c r="AM36" i="17"/>
  <c r="AM15" i="16"/>
  <c r="AM23" i="25"/>
  <c r="AM25" i="17"/>
  <c r="AL29" i="18"/>
  <c r="AL31" i="19"/>
  <c r="AL35" i="17"/>
  <c r="Z39" i="21"/>
  <c r="AI39" i="21" s="1"/>
  <c r="AM38" i="20"/>
  <c r="AC40" i="18"/>
  <c r="AD9" i="18"/>
  <c r="Z9" i="18" s="1"/>
  <c r="AI9" i="18" s="1"/>
  <c r="AL19" i="19"/>
  <c r="AM17" i="16"/>
  <c r="AL23" i="19"/>
  <c r="AL27" i="23"/>
  <c r="AM27" i="16"/>
  <c r="AL14" i="25"/>
  <c r="AD30" i="16"/>
  <c r="Z30" i="16" s="1"/>
  <c r="AI30" i="16" s="1"/>
  <c r="AL15" i="18"/>
  <c r="AL19" i="23"/>
  <c r="AL23" i="24"/>
  <c r="AM28" i="25"/>
  <c r="AD30" i="18"/>
  <c r="Z30" i="18" s="1"/>
  <c r="AI30" i="18" s="1"/>
  <c r="AM33" i="21"/>
  <c r="AL30" i="23"/>
  <c r="AL37" i="17"/>
  <c r="AL19" i="26"/>
  <c r="Z19" i="26"/>
  <c r="AI19" i="26" s="1"/>
  <c r="AL20" i="23"/>
  <c r="AM20" i="23"/>
  <c r="AD23" i="22"/>
  <c r="Z23" i="22" s="1"/>
  <c r="AI23" i="22" s="1"/>
  <c r="AM23" i="22"/>
  <c r="AD29" i="19"/>
  <c r="Z29" i="19" s="1"/>
  <c r="AI29" i="19" s="1"/>
  <c r="AD32" i="24"/>
  <c r="Z32" i="24" s="1"/>
  <c r="AI32" i="24" s="1"/>
  <c r="AD31" i="16"/>
  <c r="Z31" i="16" s="1"/>
  <c r="AI31" i="16" s="1"/>
  <c r="AC40" i="23"/>
  <c r="AL33" i="18"/>
  <c r="AL11" i="18"/>
  <c r="AL12" i="17"/>
  <c r="AL13" i="25"/>
  <c r="AL37" i="26"/>
  <c r="AC40" i="26"/>
  <c r="AD9" i="26"/>
  <c r="AC40" i="19"/>
  <c r="AM14" i="16"/>
  <c r="AM19" i="19"/>
  <c r="AM20" i="25"/>
  <c r="AL20" i="24"/>
  <c r="AM24" i="21"/>
  <c r="AL25" i="22"/>
  <c r="AL30" i="22"/>
  <c r="AM37" i="25"/>
  <c r="AL39" i="24"/>
  <c r="Y40" i="18"/>
  <c r="AL10" i="16"/>
  <c r="Z13" i="18"/>
  <c r="AI13" i="18" s="1"/>
  <c r="AL16" i="22"/>
  <c r="AL17" i="16"/>
  <c r="AL27" i="16"/>
  <c r="AM9" i="21"/>
  <c r="Y40" i="21"/>
  <c r="Y40" i="25"/>
  <c r="AD17" i="17"/>
  <c r="Z17" i="17" s="1"/>
  <c r="AI17" i="17" s="1"/>
  <c r="AL20" i="18"/>
  <c r="AL22" i="20"/>
  <c r="AD22" i="18"/>
  <c r="Z22" i="18" s="1"/>
  <c r="AI22" i="18" s="1"/>
  <c r="AM29" i="23"/>
  <c r="AL29" i="23"/>
  <c r="AL31" i="22"/>
  <c r="AD36" i="20"/>
  <c r="Z36" i="20" s="1"/>
  <c r="AI36" i="20" s="1"/>
  <c r="AM15" i="18"/>
  <c r="AL21" i="24"/>
  <c r="AM23" i="24"/>
  <c r="AM23" i="18"/>
  <c r="AL30" i="16"/>
  <c r="AL31" i="24"/>
  <c r="AL24" i="25"/>
  <c r="AL36" i="22"/>
  <c r="AL10" i="25"/>
  <c r="AM11" i="23"/>
  <c r="AL11" i="23"/>
  <c r="AL13" i="23"/>
  <c r="Z13" i="23"/>
  <c r="AI13" i="23" s="1"/>
  <c r="AC40" i="20"/>
  <c r="AL23" i="22"/>
  <c r="AL25" i="21"/>
  <c r="AM25" i="21"/>
  <c r="AD27" i="25"/>
  <c r="Z27" i="25" s="1"/>
  <c r="AI27" i="25" s="1"/>
  <c r="AD39" i="24"/>
  <c r="Z39" i="24" s="1"/>
  <c r="AI39" i="24" s="1"/>
  <c r="AC40" i="21"/>
  <c r="AL26" i="21"/>
  <c r="AM30" i="19"/>
  <c r="AL35" i="18"/>
  <c r="AM35" i="24"/>
  <c r="AM13" i="21"/>
  <c r="AD15" i="20"/>
  <c r="Z15" i="20" s="1"/>
  <c r="AI15" i="20" s="1"/>
  <c r="AM16" i="22"/>
  <c r="AD19" i="16"/>
  <c r="Z19" i="16" s="1"/>
  <c r="AI19" i="16" s="1"/>
  <c r="AL27" i="18"/>
  <c r="AM31" i="22"/>
  <c r="AL9" i="16"/>
  <c r="AM10" i="24"/>
  <c r="AD12" i="18"/>
  <c r="Z12" i="18" s="1"/>
  <c r="AI12" i="18" s="1"/>
  <c r="AM18" i="24"/>
  <c r="AL22" i="21"/>
  <c r="AL25" i="19"/>
  <c r="AL29" i="17"/>
  <c r="AM32" i="17"/>
  <c r="AL36" i="19"/>
  <c r="AM36" i="19"/>
  <c r="AM37" i="17"/>
  <c r="AM19" i="26"/>
  <c r="AL24" i="23"/>
  <c r="AM24" i="23"/>
  <c r="Z17" i="26"/>
  <c r="AI17" i="26" s="1"/>
  <c r="AM24" i="18"/>
  <c r="AL34" i="23"/>
  <c r="AD11" i="19"/>
  <c r="Z11" i="19" s="1"/>
  <c r="AI11" i="19" s="1"/>
  <c r="AM11" i="19"/>
  <c r="F58" i="19"/>
  <c r="AB40" i="20"/>
  <c r="AM26" i="18"/>
  <c r="Z30" i="19"/>
  <c r="AI30" i="19" s="1"/>
  <c r="F56" i="18"/>
  <c r="F58" i="18"/>
  <c r="F57" i="18"/>
  <c r="AC40" i="25"/>
  <c r="AD9" i="23"/>
  <c r="AL9" i="21"/>
  <c r="AM11" i="25"/>
  <c r="AD14" i="18"/>
  <c r="Z14" i="18" s="1"/>
  <c r="AI14" i="18" s="1"/>
  <c r="AM22" i="20"/>
  <c r="AD22" i="21"/>
  <c r="Z22" i="21" s="1"/>
  <c r="AI22" i="21" s="1"/>
  <c r="AD24" i="24"/>
  <c r="Z24" i="24" s="1"/>
  <c r="AI24" i="24" s="1"/>
  <c r="AM36" i="16"/>
  <c r="AM38" i="17"/>
  <c r="F58" i="16"/>
  <c r="F57" i="16"/>
  <c r="AM19" i="23"/>
  <c r="AL27" i="21"/>
  <c r="AM27" i="21"/>
  <c r="AL28" i="25"/>
  <c r="AM30" i="16"/>
  <c r="AM34" i="19"/>
  <c r="Z34" i="19"/>
  <c r="AI34" i="19" s="1"/>
  <c r="AM38" i="18"/>
  <c r="F56" i="19"/>
  <c r="AM24" i="25"/>
  <c r="AL38" i="23"/>
  <c r="AM30" i="23"/>
  <c r="Z36" i="22"/>
  <c r="AI36" i="22" s="1"/>
  <c r="AD9" i="24"/>
  <c r="F56" i="25"/>
  <c r="AM14" i="19"/>
  <c r="AL26" i="19"/>
  <c r="Z26" i="19"/>
  <c r="AI26" i="19" s="1"/>
  <c r="AM31" i="18"/>
  <c r="AD33" i="22"/>
  <c r="Z33" i="22" s="1"/>
  <c r="AI33" i="22" s="1"/>
  <c r="AL33" i="24"/>
  <c r="AL37" i="21"/>
  <c r="AC40" i="22"/>
  <c r="Z37" i="18"/>
  <c r="AI37" i="18" s="1"/>
  <c r="AD36" i="25"/>
  <c r="Z36" i="25" s="1"/>
  <c r="AI36" i="25" s="1"/>
  <c r="AL22" i="17"/>
  <c r="AL28" i="19"/>
  <c r="AL29" i="24"/>
  <c r="AD26" i="20"/>
  <c r="Z26" i="20" s="1"/>
  <c r="AI26" i="20" s="1"/>
  <c r="AD33" i="23"/>
  <c r="Z33" i="23" s="1"/>
  <c r="AI33" i="23" s="1"/>
  <c r="AD35" i="22"/>
  <c r="Z35" i="22" s="1"/>
  <c r="AI35" i="22" s="1"/>
  <c r="AL19" i="18"/>
  <c r="AL28" i="22"/>
  <c r="AL34" i="21"/>
  <c r="AL36" i="24"/>
  <c r="F58" i="25"/>
  <c r="AL15" i="25"/>
  <c r="AL17" i="18"/>
  <c r="AM31" i="23"/>
  <c r="AM29" i="22"/>
  <c r="AL32" i="19"/>
  <c r="AL38" i="22"/>
  <c r="AL39" i="16"/>
  <c r="F57" i="20"/>
  <c r="F56" i="20"/>
  <c r="F58" i="20"/>
  <c r="AL18" i="25"/>
  <c r="AL18" i="26"/>
  <c r="AM21" i="21"/>
  <c r="AM22" i="26"/>
  <c r="AL24" i="17"/>
  <c r="AL26" i="25"/>
  <c r="AM34" i="24"/>
  <c r="F57" i="22"/>
  <c r="F58" i="22"/>
  <c r="F56" i="22"/>
  <c r="AM12" i="20"/>
  <c r="AL19" i="17"/>
  <c r="AD21" i="19"/>
  <c r="Z21" i="19" s="1"/>
  <c r="AI21" i="19" s="1"/>
  <c r="AM21" i="22"/>
  <c r="AL11" i="16"/>
  <c r="AM21" i="20"/>
  <c r="AL21" i="20"/>
  <c r="AM23" i="23"/>
  <c r="AM25" i="25"/>
  <c r="AN11" i="24"/>
  <c r="Z38" i="20"/>
  <c r="AI38" i="20" s="1"/>
  <c r="AM37" i="22"/>
  <c r="AM35" i="23"/>
  <c r="AD34" i="18"/>
  <c r="Z34" i="18" s="1"/>
  <c r="AI34" i="18" s="1"/>
  <c r="AD12" i="23"/>
  <c r="Z12" i="23" s="1"/>
  <c r="AI12" i="23" s="1"/>
  <c r="AL27" i="26"/>
  <c r="AM32" i="21"/>
  <c r="AD39" i="17"/>
  <c r="Z39" i="17" s="1"/>
  <c r="AI39" i="17" s="1"/>
  <c r="Y40" i="26"/>
  <c r="AL10" i="18"/>
  <c r="AD21" i="24"/>
  <c r="Z21" i="24" s="1"/>
  <c r="AI21" i="24" s="1"/>
  <c r="AM26" i="17"/>
  <c r="Y40" i="24"/>
  <c r="AL15" i="19"/>
  <c r="AL15" i="21"/>
  <c r="AL15" i="17"/>
  <c r="AM16" i="16"/>
  <c r="AM18" i="16"/>
  <c r="AM20" i="20"/>
  <c r="AM23" i="26"/>
  <c r="Z24" i="17"/>
  <c r="AI24" i="17" s="1"/>
  <c r="AM24" i="22"/>
  <c r="AL25" i="26"/>
  <c r="AD28" i="20"/>
  <c r="Z28" i="20" s="1"/>
  <c r="AI28" i="20" s="1"/>
  <c r="AK39" i="20"/>
  <c r="AM14" i="23"/>
  <c r="AM18" i="21"/>
  <c r="AM20" i="22"/>
  <c r="AL25" i="17"/>
  <c r="AM29" i="25"/>
  <c r="AM29" i="18"/>
  <c r="AM31" i="19"/>
  <c r="AM31" i="26"/>
  <c r="AM35" i="26"/>
  <c r="AD21" i="17"/>
  <c r="Z21" i="17" s="1"/>
  <c r="AI21" i="17" s="1"/>
  <c r="AD25" i="26"/>
  <c r="Z25" i="26" s="1"/>
  <c r="AI25" i="26" s="1"/>
  <c r="F57" i="17"/>
  <c r="F58" i="17"/>
  <c r="F56" i="17"/>
  <c r="AD17" i="24"/>
  <c r="Z17" i="24" s="1"/>
  <c r="AI17" i="24" s="1"/>
  <c r="AD25" i="24"/>
  <c r="Z25" i="24" s="1"/>
  <c r="AI25" i="24" s="1"/>
  <c r="AL31" i="16"/>
  <c r="AD22" i="19"/>
  <c r="Z22" i="19" s="1"/>
  <c r="AI22" i="19" s="1"/>
  <c r="AD25" i="25"/>
  <c r="Z25" i="25" s="1"/>
  <c r="AI25" i="25" s="1"/>
  <c r="Y40" i="20"/>
  <c r="AD23" i="17"/>
  <c r="Z23" i="17" s="1"/>
  <c r="AI23" i="17" s="1"/>
  <c r="AD34" i="22"/>
  <c r="Z34" i="22" s="1"/>
  <c r="AI34" i="22" s="1"/>
  <c r="AD29" i="18"/>
  <c r="Z29" i="18" s="1"/>
  <c r="AI29" i="18" s="1"/>
  <c r="AN9" i="19"/>
  <c r="AD15" i="16"/>
  <c r="Z15" i="16" s="1"/>
  <c r="AI15" i="16" s="1"/>
  <c r="Z38" i="17"/>
  <c r="AI38" i="17" s="1"/>
  <c r="AL15" i="16"/>
  <c r="AL18" i="21"/>
  <c r="AL23" i="25"/>
  <c r="AD31" i="26"/>
  <c r="Z31" i="26" s="1"/>
  <c r="AI31" i="26" s="1"/>
  <c r="AD34" i="16"/>
  <c r="Z34" i="16" s="1"/>
  <c r="AI34" i="16" s="1"/>
  <c r="AD36" i="18"/>
  <c r="Z36" i="18" s="1"/>
  <c r="AI36" i="18" s="1"/>
  <c r="AD10" i="24"/>
  <c r="Z10" i="24" s="1"/>
  <c r="AI10" i="24" s="1"/>
  <c r="AD22" i="16"/>
  <c r="Z22" i="16" s="1"/>
  <c r="AI22" i="16" s="1"/>
  <c r="AL32" i="23"/>
  <c r="M12" i="15"/>
  <c r="R12" i="15"/>
  <c r="H12" i="15"/>
  <c r="Y12" i="15"/>
  <c r="D12" i="15"/>
  <c r="I12" i="15"/>
  <c r="N12" i="15"/>
  <c r="Z30" i="23"/>
  <c r="AI30" i="23" s="1"/>
  <c r="AM32" i="24"/>
  <c r="AM37" i="20"/>
  <c r="AL29" i="19"/>
  <c r="AC40" i="24"/>
  <c r="AL10" i="17"/>
  <c r="AM11" i="22"/>
  <c r="AM13" i="20"/>
  <c r="AL13" i="26"/>
  <c r="AL20" i="17"/>
  <c r="AM24" i="20"/>
  <c r="AD27" i="19"/>
  <c r="Z27" i="19" s="1"/>
  <c r="AI27" i="19" s="1"/>
  <c r="AM9" i="17"/>
  <c r="AM16" i="26"/>
  <c r="AD26" i="16"/>
  <c r="Z26" i="16" s="1"/>
  <c r="AI26" i="16" s="1"/>
  <c r="AM28" i="23"/>
  <c r="AL36" i="20"/>
  <c r="AL10" i="23"/>
  <c r="AL17" i="19"/>
  <c r="AM25" i="23"/>
  <c r="AM26" i="23"/>
  <c r="AM31" i="21"/>
  <c r="AM36" i="24"/>
  <c r="F57" i="25"/>
  <c r="AM15" i="20"/>
  <c r="AM29" i="16"/>
  <c r="AL33" i="23"/>
  <c r="AM38" i="21"/>
  <c r="AM37" i="18"/>
  <c r="AL32" i="18"/>
  <c r="AM39" i="16"/>
  <c r="AM10" i="20"/>
  <c r="AL12" i="26"/>
  <c r="AM13" i="16"/>
  <c r="Z27" i="22"/>
  <c r="AI27" i="22" s="1"/>
  <c r="AL30" i="24"/>
  <c r="AM32" i="20"/>
  <c r="AL33" i="17"/>
  <c r="Y40" i="23"/>
  <c r="AM18" i="17"/>
  <c r="AL18" i="18"/>
  <c r="Z19" i="17"/>
  <c r="AI19" i="17" s="1"/>
  <c r="AM19" i="16"/>
  <c r="AL21" i="22"/>
  <c r="AL22" i="18"/>
  <c r="AM27" i="25"/>
  <c r="AD27" i="17"/>
  <c r="Z27" i="17" s="1"/>
  <c r="AI27" i="17" s="1"/>
  <c r="AL11" i="20"/>
  <c r="AM11" i="16"/>
  <c r="AD15" i="25"/>
  <c r="Z15" i="25" s="1"/>
  <c r="AI15" i="25" s="1"/>
  <c r="AL23" i="23"/>
  <c r="AL32" i="25"/>
  <c r="AL37" i="19"/>
  <c r="AL37" i="23"/>
  <c r="AD31" i="19"/>
  <c r="Z31" i="19" s="1"/>
  <c r="AI31" i="19" s="1"/>
  <c r="AL33" i="16"/>
  <c r="AK38" i="16"/>
  <c r="AL10" i="19"/>
  <c r="AD15" i="18"/>
  <c r="Z15" i="18" s="1"/>
  <c r="AI15" i="18" s="1"/>
  <c r="AM17" i="25"/>
  <c r="AD18" i="21"/>
  <c r="Z18" i="21" s="1"/>
  <c r="AI18" i="21" s="1"/>
  <c r="Z25" i="20"/>
  <c r="AI25" i="20" s="1"/>
  <c r="Z34" i="25"/>
  <c r="AI34" i="25" s="1"/>
  <c r="AL34" i="18"/>
  <c r="AM10" i="18"/>
  <c r="AL14" i="17"/>
  <c r="AM15" i="24"/>
  <c r="AD20" i="20"/>
  <c r="Z20" i="20" s="1"/>
  <c r="AI20" i="20" s="1"/>
  <c r="AL23" i="17"/>
  <c r="AL26" i="17"/>
  <c r="AM29" i="20"/>
  <c r="AL39" i="25"/>
  <c r="AL12" i="22"/>
  <c r="AM15" i="19"/>
  <c r="AL26" i="16"/>
  <c r="AL29" i="26"/>
  <c r="AM30" i="26"/>
  <c r="AM33" i="19"/>
  <c r="AL39" i="20"/>
  <c r="AL22" i="16"/>
  <c r="AD37" i="17"/>
  <c r="Z37" i="17" s="1"/>
  <c r="AI37" i="17" s="1"/>
  <c r="AD37" i="19"/>
  <c r="Z37" i="19" s="1"/>
  <c r="AI37" i="19" s="1"/>
  <c r="AM12" i="25"/>
  <c r="AM19" i="20"/>
  <c r="AD19" i="18"/>
  <c r="Z19" i="18" s="1"/>
  <c r="AI19" i="18" s="1"/>
  <c r="AD10" i="17"/>
  <c r="Z10" i="17" s="1"/>
  <c r="AI10" i="17" s="1"/>
  <c r="AM20" i="17"/>
  <c r="AM28" i="19"/>
  <c r="AL9" i="17"/>
  <c r="AD9" i="22"/>
  <c r="Z9" i="22" s="1"/>
  <c r="AI9" i="22" s="1"/>
  <c r="AD20" i="22"/>
  <c r="Z20" i="22" s="1"/>
  <c r="AI20" i="22" s="1"/>
  <c r="AD31" i="17"/>
  <c r="Z31" i="17" s="1"/>
  <c r="AI31" i="17" s="1"/>
  <c r="AD10" i="23"/>
  <c r="Z10" i="23" s="1"/>
  <c r="AI10" i="23" s="1"/>
  <c r="AM10" i="23"/>
  <c r="Z20" i="25"/>
  <c r="AI20" i="25" s="1"/>
  <c r="Z38" i="21"/>
  <c r="AI38" i="21" s="1"/>
  <c r="AD17" i="23"/>
  <c r="Z17" i="23" s="1"/>
  <c r="AI17" i="23" s="1"/>
  <c r="Z18" i="26"/>
  <c r="AI18" i="26" s="1"/>
  <c r="Y40" i="22"/>
  <c r="AL9" i="23"/>
  <c r="F58" i="23"/>
  <c r="F57" i="23"/>
  <c r="F56" i="23"/>
  <c r="AD18" i="24"/>
  <c r="Z18" i="24" s="1"/>
  <c r="AI18" i="24" s="1"/>
  <c r="AM19" i="21"/>
  <c r="AD37" i="22"/>
  <c r="Z37" i="22" s="1"/>
  <c r="AI37" i="22" s="1"/>
  <c r="AB40" i="19"/>
  <c r="AM10" i="19"/>
  <c r="AD12" i="21"/>
  <c r="Z12" i="21" s="1"/>
  <c r="AI12" i="21" s="1"/>
  <c r="AD36" i="24"/>
  <c r="Z36" i="24" s="1"/>
  <c r="AI36" i="24" s="1"/>
  <c r="AL37" i="24"/>
  <c r="AL12" i="23"/>
  <c r="Z9" i="25"/>
  <c r="D7" i="36"/>
  <c r="F13" i="31"/>
  <c r="AA40" i="18"/>
  <c r="Y40" i="17"/>
  <c r="B13" i="15"/>
  <c r="C14" i="15"/>
  <c r="AF14" i="15" s="1"/>
  <c r="E46" i="31"/>
  <c r="E44" i="31"/>
  <c r="E34" i="31"/>
  <c r="E24" i="31"/>
  <c r="J43" i="31"/>
  <c r="H22" i="31"/>
  <c r="A13" i="15"/>
  <c r="F45" i="31"/>
  <c r="F48" i="31"/>
  <c r="P43" i="19"/>
  <c r="E8" i="36"/>
  <c r="G11" i="31"/>
  <c r="G13" i="31" s="1"/>
  <c r="L32" i="31"/>
  <c r="P44" i="18"/>
  <c r="I31" i="31"/>
  <c r="G23" i="31"/>
  <c r="I21" i="31"/>
  <c r="H33" i="31"/>
  <c r="P43" i="20"/>
  <c r="E9" i="36"/>
  <c r="H11" i="31"/>
  <c r="H13" i="31" s="1"/>
  <c r="F11" i="36"/>
  <c r="AA20" i="21" l="1"/>
  <c r="AA34" i="21"/>
  <c r="AD34" i="21" s="1"/>
  <c r="Z34" i="21" s="1"/>
  <c r="AI34" i="21" s="1"/>
  <c r="AA27" i="21"/>
  <c r="AA13" i="21"/>
  <c r="AD13" i="21" s="1"/>
  <c r="Z13" i="21" s="1"/>
  <c r="AI13" i="21" s="1"/>
  <c r="AB27" i="21"/>
  <c r="AB13" i="21"/>
  <c r="AB34" i="21"/>
  <c r="AB20" i="21"/>
  <c r="AA9" i="20"/>
  <c r="AA23" i="20"/>
  <c r="AD23" i="20" s="1"/>
  <c r="Z23" i="20" s="1"/>
  <c r="AI23" i="20" s="1"/>
  <c r="AA37" i="20"/>
  <c r="AD37" i="20" s="1"/>
  <c r="Z37" i="20" s="1"/>
  <c r="AI37" i="20" s="1"/>
  <c r="AA30" i="20"/>
  <c r="AD30" i="20" s="1"/>
  <c r="Z30" i="20" s="1"/>
  <c r="AI30" i="20" s="1"/>
  <c r="AB20" i="24"/>
  <c r="AB27" i="24"/>
  <c r="AB34" i="24"/>
  <c r="AB13" i="24"/>
  <c r="AK12" i="15"/>
  <c r="F56" i="16"/>
  <c r="AK21" i="16"/>
  <c r="Y10" i="15"/>
  <c r="AN23" i="20"/>
  <c r="AN19" i="18"/>
  <c r="AN24" i="18"/>
  <c r="AN18" i="17"/>
  <c r="AN37" i="21"/>
  <c r="AN14" i="17"/>
  <c r="AN34" i="22"/>
  <c r="AN36" i="22"/>
  <c r="AN25" i="25"/>
  <c r="AN33" i="24"/>
  <c r="AN38" i="23"/>
  <c r="AN39" i="19"/>
  <c r="AN9" i="23"/>
  <c r="AN19" i="16"/>
  <c r="AN35" i="24"/>
  <c r="AN12" i="16"/>
  <c r="AN30" i="24"/>
  <c r="AN29" i="19"/>
  <c r="AN15" i="24"/>
  <c r="AM21" i="16"/>
  <c r="AN17" i="20"/>
  <c r="AN27" i="22"/>
  <c r="AN39" i="25"/>
  <c r="AN28" i="23"/>
  <c r="AN38" i="22"/>
  <c r="AN16" i="19"/>
  <c r="AN25" i="20"/>
  <c r="AN23" i="17"/>
  <c r="AN37" i="23"/>
  <c r="AN27" i="23"/>
  <c r="AN14" i="21"/>
  <c r="AN30" i="21"/>
  <c r="AN17" i="26"/>
  <c r="AN10" i="24"/>
  <c r="AN24" i="17"/>
  <c r="AN13" i="21"/>
  <c r="AN33" i="18"/>
  <c r="AN36" i="20"/>
  <c r="AN11" i="22"/>
  <c r="AN25" i="26"/>
  <c r="AN15" i="17"/>
  <c r="AN17" i="25"/>
  <c r="AN15" i="21"/>
  <c r="AN35" i="25"/>
  <c r="AN17" i="23"/>
  <c r="AN9" i="22"/>
  <c r="AN22" i="17"/>
  <c r="AN27" i="19"/>
  <c r="AN39" i="18"/>
  <c r="AN35" i="21"/>
  <c r="AN22" i="25"/>
  <c r="AN34" i="24"/>
  <c r="AN22" i="16"/>
  <c r="AN15" i="22"/>
  <c r="AN12" i="19"/>
  <c r="AN20" i="26"/>
  <c r="AN31" i="16"/>
  <c r="AN26" i="25"/>
  <c r="AN26" i="23"/>
  <c r="AN32" i="24"/>
  <c r="AN23" i="21"/>
  <c r="AN12" i="20"/>
  <c r="AN27" i="26"/>
  <c r="AN26" i="21"/>
  <c r="AN37" i="25"/>
  <c r="AN21" i="25"/>
  <c r="AN26" i="20"/>
  <c r="AN18" i="26"/>
  <c r="AN37" i="26"/>
  <c r="AN38" i="16"/>
  <c r="AN16" i="25"/>
  <c r="AN39" i="20"/>
  <c r="AN34" i="21"/>
  <c r="AN19" i="25"/>
  <c r="AN18" i="23"/>
  <c r="AN33" i="20"/>
  <c r="AN31" i="23"/>
  <c r="AN29" i="25"/>
  <c r="AN22" i="21"/>
  <c r="AN33" i="22"/>
  <c r="AN9" i="26"/>
  <c r="AN26" i="19"/>
  <c r="AN23" i="26"/>
  <c r="AN20" i="19"/>
  <c r="AN12" i="17"/>
  <c r="AN11" i="21"/>
  <c r="AN13" i="26"/>
  <c r="AN31" i="24"/>
  <c r="AN11" i="18"/>
  <c r="AN26" i="26"/>
  <c r="AN38" i="21"/>
  <c r="AN16" i="26"/>
  <c r="AN35" i="23"/>
  <c r="AN19" i="17"/>
  <c r="AN35" i="26"/>
  <c r="AN31" i="26"/>
  <c r="AN31" i="19"/>
  <c r="H11" i="15"/>
  <c r="M11" i="15"/>
  <c r="R11" i="15"/>
  <c r="AN37" i="17"/>
  <c r="AN14" i="25"/>
  <c r="AN35" i="16"/>
  <c r="AN31" i="25"/>
  <c r="AN18" i="18"/>
  <c r="AN24" i="22"/>
  <c r="AN31" i="21"/>
  <c r="AN10" i="20"/>
  <c r="AN37" i="20"/>
  <c r="AN19" i="20"/>
  <c r="AN31" i="20"/>
  <c r="AN16" i="16"/>
  <c r="AN23" i="16"/>
  <c r="AN32" i="19"/>
  <c r="AN32" i="18"/>
  <c r="AN37" i="22"/>
  <c r="AN21" i="24"/>
  <c r="AN37" i="24"/>
  <c r="AN20" i="22"/>
  <c r="M15" i="26"/>
  <c r="F57" i="26" s="1"/>
  <c r="H15" i="26"/>
  <c r="R15" i="26"/>
  <c r="F58" i="26" s="1"/>
  <c r="AN13" i="24"/>
  <c r="AN13" i="17"/>
  <c r="AN38" i="20"/>
  <c r="AN29" i="21"/>
  <c r="AN34" i="23"/>
  <c r="AN21" i="21"/>
  <c r="AN30" i="17"/>
  <c r="AN28" i="17"/>
  <c r="AN14" i="20"/>
  <c r="AN28" i="24"/>
  <c r="AN39" i="17"/>
  <c r="AN22" i="23"/>
  <c r="AN27" i="25"/>
  <c r="AN18" i="16"/>
  <c r="AN33" i="21"/>
  <c r="AN15" i="23"/>
  <c r="AN25" i="19"/>
  <c r="AN38" i="24"/>
  <c r="AN26" i="22"/>
  <c r="AN37" i="18"/>
  <c r="AN23" i="19"/>
  <c r="AN14" i="23"/>
  <c r="AN18" i="24"/>
  <c r="AN14" i="24"/>
  <c r="AN31" i="17"/>
  <c r="AN35" i="20"/>
  <c r="AN19" i="21"/>
  <c r="AN29" i="24"/>
  <c r="AN32" i="17"/>
  <c r="AN10" i="17"/>
  <c r="AN12" i="25"/>
  <c r="AN14" i="22"/>
  <c r="AN15" i="20"/>
  <c r="AN36" i="17"/>
  <c r="AN28" i="26"/>
  <c r="AN11" i="20"/>
  <c r="AN29" i="16"/>
  <c r="AN28" i="16"/>
  <c r="AN24" i="16"/>
  <c r="AN16" i="17"/>
  <c r="AN25" i="22"/>
  <c r="AN14" i="16"/>
  <c r="AN10" i="26"/>
  <c r="AN30" i="25"/>
  <c r="AN21" i="22"/>
  <c r="AN13" i="19"/>
  <c r="AN33" i="16"/>
  <c r="AN18" i="20"/>
  <c r="AN15" i="16"/>
  <c r="AN32" i="21"/>
  <c r="AN38" i="25"/>
  <c r="AN26" i="17"/>
  <c r="AN23" i="24"/>
  <c r="AN34" i="20"/>
  <c r="AN39" i="23"/>
  <c r="AN16" i="23"/>
  <c r="AN22" i="26"/>
  <c r="AN35" i="22"/>
  <c r="AN25" i="24"/>
  <c r="AN17" i="24"/>
  <c r="AN32" i="22"/>
  <c r="AN17" i="22"/>
  <c r="AN20" i="21"/>
  <c r="AN27" i="24"/>
  <c r="AN11" i="16"/>
  <c r="AN9" i="18"/>
  <c r="AN13" i="23"/>
  <c r="AN15" i="25"/>
  <c r="AN39" i="21"/>
  <c r="AN11" i="25"/>
  <c r="AN29" i="17"/>
  <c r="AN30" i="18"/>
  <c r="AN27" i="20"/>
  <c r="AN14" i="18"/>
  <c r="AN25" i="16"/>
  <c r="AN21" i="26"/>
  <c r="AN35" i="17"/>
  <c r="AN34" i="17"/>
  <c r="AN9" i="24"/>
  <c r="AN9" i="20"/>
  <c r="AN18" i="25"/>
  <c r="AN38" i="18"/>
  <c r="AN38" i="17"/>
  <c r="AN18" i="19"/>
  <c r="AN17" i="17"/>
  <c r="AN24" i="25"/>
  <c r="AN33" i="25"/>
  <c r="AN24" i="20"/>
  <c r="AN29" i="18"/>
  <c r="AN26" i="18"/>
  <c r="AN23" i="18"/>
  <c r="AN34" i="16"/>
  <c r="AN12" i="22"/>
  <c r="AN32" i="25"/>
  <c r="AN32" i="23"/>
  <c r="AN19" i="22"/>
  <c r="AN22" i="19"/>
  <c r="AN17" i="19"/>
  <c r="AN11" i="19"/>
  <c r="AN38" i="19"/>
  <c r="AN11" i="26"/>
  <c r="AN19" i="24"/>
  <c r="AN13" i="22"/>
  <c r="AN28" i="20"/>
  <c r="AN16" i="20"/>
  <c r="AN21" i="17"/>
  <c r="AN26" i="24"/>
  <c r="AN18" i="22"/>
  <c r="AN22" i="22"/>
  <c r="AN13" i="18"/>
  <c r="AN36" i="18"/>
  <c r="AN16" i="18"/>
  <c r="AN22" i="18"/>
  <c r="AN34" i="18"/>
  <c r="AN20" i="18"/>
  <c r="AN28" i="18"/>
  <c r="AN27" i="18"/>
  <c r="Z21" i="16"/>
  <c r="AI21" i="16" s="1"/>
  <c r="AL21" i="16"/>
  <c r="AN37" i="19"/>
  <c r="AN25" i="17"/>
  <c r="AN31" i="18"/>
  <c r="AN16" i="24"/>
  <c r="AN10" i="21"/>
  <c r="AN29" i="20"/>
  <c r="AN33" i="23"/>
  <c r="AN25" i="18"/>
  <c r="AN13" i="20"/>
  <c r="AN28" i="22"/>
  <c r="AN30" i="23"/>
  <c r="AN20" i="24"/>
  <c r="AN12" i="23"/>
  <c r="AN30" i="26"/>
  <c r="AN12" i="21"/>
  <c r="AN36" i="25"/>
  <c r="AN29" i="26"/>
  <c r="AN33" i="17"/>
  <c r="AN30" i="22"/>
  <c r="AN20" i="25"/>
  <c r="AN24" i="26"/>
  <c r="AN19" i="26"/>
  <c r="AN36" i="26"/>
  <c r="AN11" i="17"/>
  <c r="AN28" i="21"/>
  <c r="AN22" i="24"/>
  <c r="AN39" i="16"/>
  <c r="AN39" i="22"/>
  <c r="AN12" i="24"/>
  <c r="AN34" i="25"/>
  <c r="AN21" i="23"/>
  <c r="AN30" i="20"/>
  <c r="AN16" i="21"/>
  <c r="AN27" i="17"/>
  <c r="AN14" i="26"/>
  <c r="AN9" i="16"/>
  <c r="AN10" i="16"/>
  <c r="AN10" i="25"/>
  <c r="AN10" i="22"/>
  <c r="AN33" i="19"/>
  <c r="AN29" i="22"/>
  <c r="AN13" i="25"/>
  <c r="AN25" i="23"/>
  <c r="AN34" i="19"/>
  <c r="AN35" i="18"/>
  <c r="AN38" i="26"/>
  <c r="AN9" i="17"/>
  <c r="AN13" i="16"/>
  <c r="AN26" i="16"/>
  <c r="AN32" i="20"/>
  <c r="AN12" i="26"/>
  <c r="AN20" i="20"/>
  <c r="AN30" i="19"/>
  <c r="AN39" i="24"/>
  <c r="AN21" i="18"/>
  <c r="AN24" i="24"/>
  <c r="AN23" i="25"/>
  <c r="AN17" i="18"/>
  <c r="AN14" i="19"/>
  <c r="AN36" i="23"/>
  <c r="AN32" i="16"/>
  <c r="AN24" i="19"/>
  <c r="AN12" i="18"/>
  <c r="AN24" i="21"/>
  <c r="AD12" i="15"/>
  <c r="Z12" i="15" s="1"/>
  <c r="AI12" i="15" s="1"/>
  <c r="AN35" i="19"/>
  <c r="AN23" i="22"/>
  <c r="AA13" i="15"/>
  <c r="AN36" i="16"/>
  <c r="AN17" i="16"/>
  <c r="AN27" i="21"/>
  <c r="AB13" i="15"/>
  <c r="AC13" i="15"/>
  <c r="AN37" i="16"/>
  <c r="AM12" i="15"/>
  <c r="AN25" i="21"/>
  <c r="AN21" i="19"/>
  <c r="AN36" i="21"/>
  <c r="AN20" i="16"/>
  <c r="AL12" i="15"/>
  <c r="AN20" i="23"/>
  <c r="AN17" i="21"/>
  <c r="AN10" i="19"/>
  <c r="AN15" i="19"/>
  <c r="AN19" i="23"/>
  <c r="AN19" i="19"/>
  <c r="AI9" i="25"/>
  <c r="AN10" i="18"/>
  <c r="Z9" i="23"/>
  <c r="AN24" i="23"/>
  <c r="AN36" i="19"/>
  <c r="AN11" i="23"/>
  <c r="AN30" i="16"/>
  <c r="AN31" i="22"/>
  <c r="AN22" i="20"/>
  <c r="Z9" i="26"/>
  <c r="AN10" i="23"/>
  <c r="AN20" i="17"/>
  <c r="AN18" i="21"/>
  <c r="AN23" i="23"/>
  <c r="AN21" i="20"/>
  <c r="AN28" i="19"/>
  <c r="Y13" i="15"/>
  <c r="R13" i="15"/>
  <c r="H13" i="15"/>
  <c r="M13" i="15"/>
  <c r="I13" i="15"/>
  <c r="D13" i="15"/>
  <c r="N13" i="15"/>
  <c r="AN9" i="21"/>
  <c r="AN16" i="22"/>
  <c r="AN28" i="25"/>
  <c r="AN27" i="16"/>
  <c r="AN36" i="24"/>
  <c r="Z9" i="24"/>
  <c r="AI9" i="24" s="1"/>
  <c r="AN29" i="23"/>
  <c r="AN15" i="18"/>
  <c r="AD40" i="18"/>
  <c r="AA40" i="19"/>
  <c r="C15" i="15"/>
  <c r="AF15" i="15" s="1"/>
  <c r="B14" i="15"/>
  <c r="F46" i="31"/>
  <c r="F44" i="31"/>
  <c r="F34" i="31"/>
  <c r="G48" i="31"/>
  <c r="F24" i="31"/>
  <c r="K43" i="31"/>
  <c r="I22" i="31"/>
  <c r="D8" i="36"/>
  <c r="P44" i="19"/>
  <c r="A14" i="15"/>
  <c r="J31" i="31"/>
  <c r="M32" i="31"/>
  <c r="H23" i="31"/>
  <c r="G45" i="31"/>
  <c r="J21" i="31"/>
  <c r="D9" i="36"/>
  <c r="P44" i="20"/>
  <c r="I33" i="31"/>
  <c r="F12" i="36"/>
  <c r="E10" i="36"/>
  <c r="P43" i="21"/>
  <c r="I11" i="31"/>
  <c r="I13" i="31" s="1"/>
  <c r="AB40" i="21" l="1"/>
  <c r="AA38" i="22"/>
  <c r="AA31" i="22"/>
  <c r="AA24" i="22"/>
  <c r="AA10" i="22"/>
  <c r="AA17" i="22"/>
  <c r="AD17" i="22" s="1"/>
  <c r="Z17" i="22" s="1"/>
  <c r="AI17" i="22" s="1"/>
  <c r="AA21" i="21"/>
  <c r="AD21" i="21" s="1"/>
  <c r="Z21" i="21" s="1"/>
  <c r="AI21" i="21" s="1"/>
  <c r="AA28" i="21"/>
  <c r="AD28" i="21" s="1"/>
  <c r="Z28" i="21" s="1"/>
  <c r="AI28" i="21" s="1"/>
  <c r="AA14" i="21"/>
  <c r="AD14" i="21" s="1"/>
  <c r="Z14" i="21" s="1"/>
  <c r="AI14" i="21" s="1"/>
  <c r="AA35" i="21"/>
  <c r="AD35" i="21" s="1"/>
  <c r="Z35" i="21" s="1"/>
  <c r="AI35" i="21" s="1"/>
  <c r="AD27" i="21"/>
  <c r="Z27" i="21" s="1"/>
  <c r="AI27" i="21" s="1"/>
  <c r="AB10" i="25"/>
  <c r="AB17" i="25"/>
  <c r="AB31" i="25"/>
  <c r="AB38" i="25"/>
  <c r="AB24" i="25"/>
  <c r="AB10" i="22"/>
  <c r="AB38" i="22"/>
  <c r="AB31" i="22"/>
  <c r="AB24" i="22"/>
  <c r="AB17" i="22"/>
  <c r="AB40" i="22" s="1"/>
  <c r="AD9" i="20"/>
  <c r="AA40" i="20"/>
  <c r="AD20" i="21"/>
  <c r="Z20" i="21" s="1"/>
  <c r="AI20" i="21" s="1"/>
  <c r="AK13" i="15"/>
  <c r="AK11" i="15"/>
  <c r="AK15" i="26"/>
  <c r="AN21" i="16"/>
  <c r="Z11" i="15"/>
  <c r="AI11" i="15" s="1"/>
  <c r="Y11" i="15"/>
  <c r="AM11" i="15"/>
  <c r="AL11" i="15"/>
  <c r="AM15" i="26"/>
  <c r="F56" i="26"/>
  <c r="AL15" i="26"/>
  <c r="AD13" i="15"/>
  <c r="Z13" i="15" s="1"/>
  <c r="AI13" i="15" s="1"/>
  <c r="AB14" i="15"/>
  <c r="AN12" i="15"/>
  <c r="AL13" i="15"/>
  <c r="AM13" i="15"/>
  <c r="AB15" i="15"/>
  <c r="D14" i="15"/>
  <c r="R14" i="15"/>
  <c r="H14" i="15"/>
  <c r="AK14" i="15" s="1"/>
  <c r="M14" i="15"/>
  <c r="Y14" i="15"/>
  <c r="I14" i="15"/>
  <c r="N14" i="15"/>
  <c r="AC14" i="15"/>
  <c r="AI9" i="26"/>
  <c r="AA14" i="15"/>
  <c r="AI9" i="23"/>
  <c r="AD40" i="19"/>
  <c r="AI40" i="18"/>
  <c r="Z40" i="18"/>
  <c r="C16" i="15"/>
  <c r="AF16" i="15" s="1"/>
  <c r="B15" i="15"/>
  <c r="G46" i="31"/>
  <c r="G34" i="31"/>
  <c r="G44" i="31"/>
  <c r="H48" i="31"/>
  <c r="G24" i="31"/>
  <c r="L43" i="31"/>
  <c r="J22" i="31"/>
  <c r="H45" i="31"/>
  <c r="A15" i="15"/>
  <c r="N32" i="31"/>
  <c r="K31" i="31"/>
  <c r="I23" i="31"/>
  <c r="K21" i="31"/>
  <c r="E11" i="36"/>
  <c r="P43" i="22"/>
  <c r="J11" i="31"/>
  <c r="J13" i="31" s="1"/>
  <c r="J33" i="31"/>
  <c r="F13" i="36"/>
  <c r="P44" i="21"/>
  <c r="D10" i="36"/>
  <c r="AB28" i="23" l="1"/>
  <c r="AB21" i="23"/>
  <c r="AB35" i="23"/>
  <c r="AB14" i="23"/>
  <c r="AD10" i="22"/>
  <c r="Z10" i="22" s="1"/>
  <c r="AI10" i="22" s="1"/>
  <c r="AB15" i="26"/>
  <c r="AB36" i="26"/>
  <c r="AB22" i="26"/>
  <c r="AB29" i="26"/>
  <c r="AD24" i="22"/>
  <c r="Z24" i="22" s="1"/>
  <c r="AI24" i="22" s="1"/>
  <c r="AD31" i="22"/>
  <c r="Z31" i="22" s="1"/>
  <c r="AI31" i="22" s="1"/>
  <c r="Z9" i="20"/>
  <c r="AD40" i="20"/>
  <c r="AD38" i="22"/>
  <c r="Z38" i="22" s="1"/>
  <c r="AI38" i="22" s="1"/>
  <c r="AA18" i="22"/>
  <c r="AD18" i="22" s="1"/>
  <c r="Z18" i="22" s="1"/>
  <c r="AI18" i="22" s="1"/>
  <c r="AA32" i="22"/>
  <c r="AD32" i="22" s="1"/>
  <c r="Z32" i="22" s="1"/>
  <c r="AI32" i="22" s="1"/>
  <c r="AA39" i="22"/>
  <c r="AD39" i="22" s="1"/>
  <c r="Z39" i="22" s="1"/>
  <c r="AI39" i="22" s="1"/>
  <c r="AA11" i="22"/>
  <c r="AD11" i="22" s="1"/>
  <c r="Z11" i="22" s="1"/>
  <c r="AI11" i="22" s="1"/>
  <c r="AA25" i="22"/>
  <c r="AD25" i="22" s="1"/>
  <c r="Z25" i="22" s="1"/>
  <c r="AI25" i="22" s="1"/>
  <c r="AA14" i="23"/>
  <c r="AA35" i="23"/>
  <c r="AD35" i="23" s="1"/>
  <c r="Z35" i="23" s="1"/>
  <c r="AI35" i="23" s="1"/>
  <c r="AA21" i="23"/>
  <c r="AD21" i="23" s="1"/>
  <c r="Z21" i="23" s="1"/>
  <c r="AI21" i="23" s="1"/>
  <c r="AA28" i="23"/>
  <c r="AD28" i="23" s="1"/>
  <c r="Z28" i="23" s="1"/>
  <c r="AI28" i="23" s="1"/>
  <c r="R10" i="15"/>
  <c r="H10" i="15"/>
  <c r="M10" i="15"/>
  <c r="AN11" i="15"/>
  <c r="AN15" i="26"/>
  <c r="AN13" i="15"/>
  <c r="AM14" i="15"/>
  <c r="AA15" i="15"/>
  <c r="AC15" i="15"/>
  <c r="AL14" i="15"/>
  <c r="AD14" i="15"/>
  <c r="Z14" i="15" s="1"/>
  <c r="AI14" i="15" s="1"/>
  <c r="Y15" i="15"/>
  <c r="M15" i="15"/>
  <c r="R15" i="15"/>
  <c r="H15" i="15"/>
  <c r="I15" i="15"/>
  <c r="N15" i="15"/>
  <c r="D15" i="15"/>
  <c r="AI40" i="19"/>
  <c r="Z40" i="19"/>
  <c r="AA40" i="21"/>
  <c r="AD40" i="22"/>
  <c r="AD40" i="21"/>
  <c r="C17" i="15"/>
  <c r="AF17" i="15" s="1"/>
  <c r="B16" i="15"/>
  <c r="I48" i="31"/>
  <c r="H46" i="31"/>
  <c r="H44" i="31"/>
  <c r="H34" i="31"/>
  <c r="H24" i="31"/>
  <c r="M43" i="31"/>
  <c r="O40" i="31"/>
  <c r="K22" i="31"/>
  <c r="A16" i="15"/>
  <c r="L31" i="31"/>
  <c r="O32" i="31"/>
  <c r="J23" i="31"/>
  <c r="I45" i="31"/>
  <c r="I24" i="31" s="1"/>
  <c r="O36" i="31"/>
  <c r="L21" i="31"/>
  <c r="P43" i="23"/>
  <c r="E12" i="36"/>
  <c r="K11" i="31"/>
  <c r="K13" i="31" s="1"/>
  <c r="P44" i="22"/>
  <c r="D11" i="36"/>
  <c r="K33" i="31"/>
  <c r="F14" i="36"/>
  <c r="O10" i="31"/>
  <c r="AD14" i="23" l="1"/>
  <c r="AI9" i="20"/>
  <c r="AI40" i="20" s="1"/>
  <c r="Z40" i="20"/>
  <c r="AB26" i="24"/>
  <c r="AB19" i="24"/>
  <c r="AB12" i="24"/>
  <c r="AB40" i="24" s="1"/>
  <c r="AB33" i="24"/>
  <c r="AA15" i="23"/>
  <c r="AD15" i="23" s="1"/>
  <c r="Z15" i="23" s="1"/>
  <c r="AI15" i="23" s="1"/>
  <c r="AA22" i="23"/>
  <c r="AD22" i="23" s="1"/>
  <c r="Z22" i="23" s="1"/>
  <c r="AI22" i="23" s="1"/>
  <c r="AA29" i="23"/>
  <c r="AD29" i="23" s="1"/>
  <c r="Z29" i="23" s="1"/>
  <c r="AI29" i="23" s="1"/>
  <c r="AA36" i="23"/>
  <c r="AD36" i="23" s="1"/>
  <c r="Z36" i="23" s="1"/>
  <c r="AI36" i="23" s="1"/>
  <c r="AA40" i="22"/>
  <c r="AA33" i="24"/>
  <c r="AD33" i="24" s="1"/>
  <c r="Z33" i="24" s="1"/>
  <c r="AI33" i="24" s="1"/>
  <c r="AA26" i="24"/>
  <c r="AD26" i="24" s="1"/>
  <c r="Z26" i="24" s="1"/>
  <c r="AI26" i="24" s="1"/>
  <c r="AA12" i="24"/>
  <c r="AA19" i="24"/>
  <c r="AB40" i="23"/>
  <c r="AK15" i="15"/>
  <c r="AK10" i="15"/>
  <c r="AL10" i="15"/>
  <c r="AM10" i="15"/>
  <c r="Z10" i="15"/>
  <c r="AI10" i="15" s="1"/>
  <c r="AD15" i="15"/>
  <c r="AC16" i="15"/>
  <c r="D16" i="15"/>
  <c r="AN14" i="15"/>
  <c r="AM15" i="15"/>
  <c r="AA16" i="15"/>
  <c r="AA17" i="15"/>
  <c r="AL15" i="15"/>
  <c r="M16" i="15"/>
  <c r="R16" i="15"/>
  <c r="H16" i="15"/>
  <c r="AK16" i="15" s="1"/>
  <c r="N16" i="15"/>
  <c r="Y16" i="15"/>
  <c r="I16" i="15"/>
  <c r="AB16" i="15"/>
  <c r="Z15" i="15"/>
  <c r="AI15" i="15" s="1"/>
  <c r="F57" i="21"/>
  <c r="F58" i="21"/>
  <c r="Z40" i="22"/>
  <c r="AI40" i="22"/>
  <c r="Z40" i="21"/>
  <c r="N43" i="31"/>
  <c r="O43" i="31" s="1"/>
  <c r="O37" i="31"/>
  <c r="B17" i="15"/>
  <c r="C18" i="15"/>
  <c r="AF18" i="15" s="1"/>
  <c r="I46" i="31"/>
  <c r="I44" i="31"/>
  <c r="I34" i="31"/>
  <c r="O38" i="31"/>
  <c r="O39" i="31"/>
  <c r="L22" i="31"/>
  <c r="A17" i="15"/>
  <c r="J45" i="31"/>
  <c r="J48" i="31"/>
  <c r="M31" i="31"/>
  <c r="K23" i="31"/>
  <c r="M21" i="31"/>
  <c r="E13" i="36"/>
  <c r="P43" i="24"/>
  <c r="L11" i="31"/>
  <c r="L13" i="31" s="1"/>
  <c r="F15" i="36"/>
  <c r="F16" i="36" s="1"/>
  <c r="L33" i="31"/>
  <c r="D12" i="36"/>
  <c r="P44" i="23"/>
  <c r="AD12" i="24" l="1"/>
  <c r="AA20" i="24"/>
  <c r="AD20" i="24" s="1"/>
  <c r="Z20" i="24" s="1"/>
  <c r="AI20" i="24" s="1"/>
  <c r="AA34" i="24"/>
  <c r="AD34" i="24" s="1"/>
  <c r="Z34" i="24" s="1"/>
  <c r="AI34" i="24" s="1"/>
  <c r="AA13" i="24"/>
  <c r="AD13" i="24" s="1"/>
  <c r="Z13" i="24" s="1"/>
  <c r="AI13" i="24" s="1"/>
  <c r="AA27" i="24"/>
  <c r="AD27" i="24" s="1"/>
  <c r="Z27" i="24" s="1"/>
  <c r="AI27" i="24" s="1"/>
  <c r="AA16" i="25"/>
  <c r="AA37" i="25"/>
  <c r="AD37" i="25" s="1"/>
  <c r="Z37" i="25" s="1"/>
  <c r="AI37" i="25" s="1"/>
  <c r="AA23" i="25"/>
  <c r="AA30" i="25"/>
  <c r="AB23" i="25"/>
  <c r="AB37" i="25"/>
  <c r="AB30" i="25"/>
  <c r="AB16" i="25"/>
  <c r="Z14" i="23"/>
  <c r="AD40" i="23"/>
  <c r="AD19" i="24"/>
  <c r="Z19" i="24" s="1"/>
  <c r="AI19" i="24" s="1"/>
  <c r="AA40" i="23"/>
  <c r="AN10" i="15"/>
  <c r="AD16" i="15"/>
  <c r="Z16" i="15" s="1"/>
  <c r="AI16" i="15" s="1"/>
  <c r="AM16" i="15"/>
  <c r="AN15" i="15"/>
  <c r="AL16" i="15"/>
  <c r="AC17" i="15"/>
  <c r="Y17" i="15"/>
  <c r="R17" i="15"/>
  <c r="H17" i="15"/>
  <c r="M17" i="15"/>
  <c r="I17" i="15"/>
  <c r="D17" i="15"/>
  <c r="N17" i="15"/>
  <c r="AA18" i="15"/>
  <c r="AB17" i="15"/>
  <c r="F56" i="21"/>
  <c r="AI40" i="21"/>
  <c r="C19" i="15"/>
  <c r="AF19" i="15" s="1"/>
  <c r="B18" i="15"/>
  <c r="J46" i="31"/>
  <c r="J44" i="31"/>
  <c r="J34" i="31"/>
  <c r="K48" i="31"/>
  <c r="J24" i="31"/>
  <c r="M22" i="31"/>
  <c r="O27" i="31"/>
  <c r="O28" i="31"/>
  <c r="A18" i="15"/>
  <c r="O29" i="31"/>
  <c r="L23" i="31"/>
  <c r="N31" i="31"/>
  <c r="K45" i="31"/>
  <c r="N21" i="31"/>
  <c r="M33" i="31"/>
  <c r="E14" i="36"/>
  <c r="P43" i="25"/>
  <c r="M11" i="31"/>
  <c r="M13" i="31" s="1"/>
  <c r="O20" i="31"/>
  <c r="P44" i="24"/>
  <c r="D13" i="36"/>
  <c r="AI14" i="23" l="1"/>
  <c r="AI40" i="23" s="1"/>
  <c r="Z40" i="23"/>
  <c r="AD16" i="25"/>
  <c r="Z16" i="25" s="1"/>
  <c r="AI16" i="25" s="1"/>
  <c r="AB40" i="25"/>
  <c r="AA24" i="25"/>
  <c r="AD24" i="25" s="1"/>
  <c r="Z24" i="25" s="1"/>
  <c r="AI24" i="25" s="1"/>
  <c r="AA31" i="25"/>
  <c r="AD31" i="25" s="1"/>
  <c r="Z31" i="25" s="1"/>
  <c r="AI31" i="25" s="1"/>
  <c r="AA38" i="25"/>
  <c r="AD38" i="25" s="1"/>
  <c r="Z38" i="25" s="1"/>
  <c r="AI38" i="25" s="1"/>
  <c r="AA10" i="25"/>
  <c r="AA17" i="25"/>
  <c r="AD17" i="25" s="1"/>
  <c r="Z17" i="25" s="1"/>
  <c r="AI17" i="25" s="1"/>
  <c r="AD30" i="25"/>
  <c r="Z30" i="25" s="1"/>
  <c r="AI30" i="25" s="1"/>
  <c r="AA40" i="24"/>
  <c r="AA21" i="26"/>
  <c r="AA28" i="26"/>
  <c r="AA35" i="26"/>
  <c r="AD35" i="26" s="1"/>
  <c r="Z35" i="26" s="1"/>
  <c r="AI35" i="26" s="1"/>
  <c r="AA14" i="26"/>
  <c r="AB35" i="26"/>
  <c r="AB14" i="26"/>
  <c r="AB28" i="26"/>
  <c r="AB21" i="26"/>
  <c r="AD23" i="25"/>
  <c r="Z23" i="25" s="1"/>
  <c r="AI23" i="25" s="1"/>
  <c r="Z12" i="24"/>
  <c r="AI12" i="24" s="1"/>
  <c r="AD40" i="24"/>
  <c r="AK17" i="15"/>
  <c r="AM17" i="15"/>
  <c r="AN16" i="15"/>
  <c r="AB18" i="15"/>
  <c r="AD17" i="15"/>
  <c r="Z17" i="15" s="1"/>
  <c r="AI17" i="15" s="1"/>
  <c r="AL17" i="15"/>
  <c r="H18" i="15"/>
  <c r="R18" i="15"/>
  <c r="M18" i="15"/>
  <c r="D18" i="15"/>
  <c r="I18" i="15"/>
  <c r="N18" i="15"/>
  <c r="Y18" i="15"/>
  <c r="AB19" i="15"/>
  <c r="AC18" i="15"/>
  <c r="F58" i="24"/>
  <c r="F57" i="24"/>
  <c r="C20" i="15"/>
  <c r="AF20" i="15" s="1"/>
  <c r="B19" i="15"/>
  <c r="K46" i="31"/>
  <c r="K44" i="31"/>
  <c r="K34" i="31"/>
  <c r="K24" i="31"/>
  <c r="N22" i="31"/>
  <c r="A19" i="15"/>
  <c r="L45" i="31"/>
  <c r="L24" i="31" s="1"/>
  <c r="L48" i="31"/>
  <c r="O30" i="31"/>
  <c r="O31" i="31"/>
  <c r="M23" i="31"/>
  <c r="O21" i="31"/>
  <c r="O17" i="31"/>
  <c r="P43" i="26"/>
  <c r="E15" i="36"/>
  <c r="E16" i="36" s="1"/>
  <c r="O9" i="31"/>
  <c r="N11" i="31"/>
  <c r="N13" i="31" s="1"/>
  <c r="O19" i="31"/>
  <c r="D14" i="36"/>
  <c r="P44" i="25"/>
  <c r="N33" i="31"/>
  <c r="O33" i="31" s="1"/>
  <c r="O26" i="31"/>
  <c r="O18" i="31"/>
  <c r="AB40" i="26" l="1"/>
  <c r="AA40" i="25"/>
  <c r="AD10" i="25"/>
  <c r="AA29" i="26"/>
  <c r="AD29" i="26" s="1"/>
  <c r="Z29" i="26" s="1"/>
  <c r="AI29" i="26" s="1"/>
  <c r="AA36" i="26"/>
  <c r="AD36" i="26" s="1"/>
  <c r="Z36" i="26" s="1"/>
  <c r="AI36" i="26" s="1"/>
  <c r="AA22" i="26"/>
  <c r="AD22" i="26" s="1"/>
  <c r="Z22" i="26" s="1"/>
  <c r="AI22" i="26" s="1"/>
  <c r="AA15" i="26"/>
  <c r="AD15" i="26" s="1"/>
  <c r="Z15" i="26" s="1"/>
  <c r="AI15" i="26" s="1"/>
  <c r="AD28" i="26"/>
  <c r="Z28" i="26" s="1"/>
  <c r="AI28" i="26" s="1"/>
  <c r="AD14" i="26"/>
  <c r="AD21" i="26"/>
  <c r="Z21" i="26" s="1"/>
  <c r="AI21" i="26" s="1"/>
  <c r="AK18" i="15"/>
  <c r="AD18" i="15"/>
  <c r="Z18" i="15" s="1"/>
  <c r="AI18" i="15" s="1"/>
  <c r="AN17" i="15"/>
  <c r="AA19" i="15"/>
  <c r="H19" i="15" s="1"/>
  <c r="AK19" i="15" s="1"/>
  <c r="AC19" i="15"/>
  <c r="R19" i="15" s="1"/>
  <c r="AL18" i="15"/>
  <c r="AB20" i="15"/>
  <c r="AM18" i="15"/>
  <c r="Y19" i="15"/>
  <c r="M19" i="15"/>
  <c r="I19" i="15"/>
  <c r="D19" i="15"/>
  <c r="N19" i="15"/>
  <c r="F56" i="24"/>
  <c r="C21" i="15"/>
  <c r="AF21" i="15" s="1"/>
  <c r="B20" i="15"/>
  <c r="L46" i="31"/>
  <c r="L44" i="31"/>
  <c r="L34" i="31"/>
  <c r="O22" i="31"/>
  <c r="A20" i="15"/>
  <c r="M45" i="31"/>
  <c r="M48" i="31"/>
  <c r="N23" i="31"/>
  <c r="O13" i="31"/>
  <c r="O11" i="31"/>
  <c r="O16" i="31"/>
  <c r="P44" i="26"/>
  <c r="D15" i="36"/>
  <c r="D16" i="36" s="1"/>
  <c r="Z10" i="25" l="1"/>
  <c r="AD40" i="25"/>
  <c r="Z14" i="26"/>
  <c r="AD40" i="26"/>
  <c r="AA40" i="26"/>
  <c r="AN18" i="15"/>
  <c r="AD19" i="15"/>
  <c r="Z19" i="15" s="1"/>
  <c r="AI19" i="15" s="1"/>
  <c r="AA20" i="15"/>
  <c r="AA21" i="15"/>
  <c r="AL19" i="15"/>
  <c r="M20" i="15"/>
  <c r="R20" i="15"/>
  <c r="H20" i="15"/>
  <c r="N20" i="15"/>
  <c r="I20" i="15"/>
  <c r="D20" i="15"/>
  <c r="Y20" i="15"/>
  <c r="AM19" i="15"/>
  <c r="AC20" i="15"/>
  <c r="B21" i="15"/>
  <c r="C22" i="15"/>
  <c r="AF22" i="15" s="1"/>
  <c r="M46" i="31"/>
  <c r="M44" i="31"/>
  <c r="M34" i="31"/>
  <c r="M24" i="31"/>
  <c r="A21" i="15"/>
  <c r="N45" i="31"/>
  <c r="N24" i="31" s="1"/>
  <c r="N48" i="31"/>
  <c r="O48" i="31" s="1"/>
  <c r="O23" i="31"/>
  <c r="AI14" i="26" l="1"/>
  <c r="AI40" i="26" s="1"/>
  <c r="Z40" i="26"/>
  <c r="AI10" i="25"/>
  <c r="AI40" i="25" s="1"/>
  <c r="Z40" i="25"/>
  <c r="AK20" i="15"/>
  <c r="AD20" i="15"/>
  <c r="AM20" i="15"/>
  <c r="AL20" i="15"/>
  <c r="Y21" i="15"/>
  <c r="R21" i="15"/>
  <c r="H21" i="15"/>
  <c r="M21" i="15"/>
  <c r="I21" i="15"/>
  <c r="D21" i="15"/>
  <c r="N21" i="15"/>
  <c r="AN19" i="15"/>
  <c r="AB21" i="15"/>
  <c r="AA22" i="15"/>
  <c r="AC21" i="15"/>
  <c r="C23" i="15"/>
  <c r="AF23" i="15" s="1"/>
  <c r="B22" i="15"/>
  <c r="O45" i="31"/>
  <c r="N34" i="31"/>
  <c r="N44" i="31"/>
  <c r="N46" i="31"/>
  <c r="A22" i="15"/>
  <c r="AK21" i="15" l="1"/>
  <c r="Z20" i="15"/>
  <c r="AI20" i="15" s="1"/>
  <c r="AN20" i="15"/>
  <c r="AL21" i="15"/>
  <c r="AD21" i="15"/>
  <c r="Z21" i="15" s="1"/>
  <c r="AI21" i="15" s="1"/>
  <c r="AB22" i="15"/>
  <c r="AM21" i="15"/>
  <c r="AC22" i="15"/>
  <c r="AB23" i="15"/>
  <c r="R22" i="15"/>
  <c r="M22" i="15"/>
  <c r="H22" i="15"/>
  <c r="N22" i="15"/>
  <c r="Y22" i="15"/>
  <c r="D22" i="15"/>
  <c r="I22" i="15"/>
  <c r="C24" i="15"/>
  <c r="AF24" i="15" s="1"/>
  <c r="B23" i="15"/>
  <c r="A23" i="15"/>
  <c r="AK22" i="15" l="1"/>
  <c r="AM22" i="15"/>
  <c r="AN21" i="15"/>
  <c r="AD22" i="15"/>
  <c r="Z22" i="15" s="1"/>
  <c r="AI22" i="15" s="1"/>
  <c r="AA23" i="15"/>
  <c r="AL22" i="15"/>
  <c r="AC23" i="15"/>
  <c r="AA24" i="15"/>
  <c r="M23" i="15"/>
  <c r="R23" i="15"/>
  <c r="H23" i="15"/>
  <c r="AK23" i="15" s="1"/>
  <c r="I23" i="15"/>
  <c r="Y23" i="15"/>
  <c r="D23" i="15"/>
  <c r="N23" i="15"/>
  <c r="C25" i="15"/>
  <c r="AF25" i="15" s="1"/>
  <c r="B24" i="15"/>
  <c r="A24" i="15"/>
  <c r="AN22" i="15" l="1"/>
  <c r="AD23" i="15"/>
  <c r="Z23" i="15" s="1"/>
  <c r="AI23" i="15" s="1"/>
  <c r="AL23" i="15"/>
  <c r="AM23" i="15"/>
  <c r="R24" i="15"/>
  <c r="H24" i="15"/>
  <c r="M24" i="15"/>
  <c r="I24" i="15"/>
  <c r="D24" i="15"/>
  <c r="Y24" i="15"/>
  <c r="N24" i="15"/>
  <c r="AC24" i="15"/>
  <c r="AC25" i="15"/>
  <c r="AB24" i="15"/>
  <c r="B25" i="15"/>
  <c r="C26" i="15"/>
  <c r="AF26" i="15" s="1"/>
  <c r="A25" i="15"/>
  <c r="AK24" i="15" l="1"/>
  <c r="AM24" i="15"/>
  <c r="AL24" i="15"/>
  <c r="AD24" i="15"/>
  <c r="Z24" i="15" s="1"/>
  <c r="AI24" i="15" s="1"/>
  <c r="AA25" i="15"/>
  <c r="AN23" i="15"/>
  <c r="AC26" i="15"/>
  <c r="R25" i="15"/>
  <c r="H25" i="15"/>
  <c r="M25" i="15"/>
  <c r="Y25" i="15"/>
  <c r="I25" i="15"/>
  <c r="D25" i="15"/>
  <c r="N25" i="15"/>
  <c r="AB25" i="15"/>
  <c r="C27" i="15"/>
  <c r="AF27" i="15" s="1"/>
  <c r="B26" i="15"/>
  <c r="A26" i="15"/>
  <c r="AK25" i="15" l="1"/>
  <c r="AN24" i="15"/>
  <c r="AD25" i="15"/>
  <c r="Z25" i="15" s="1"/>
  <c r="AI25" i="15" s="1"/>
  <c r="AM25" i="15"/>
  <c r="AL25" i="15"/>
  <c r="AA26" i="15"/>
  <c r="AB26" i="15"/>
  <c r="AA27" i="15"/>
  <c r="R26" i="15"/>
  <c r="H26" i="15"/>
  <c r="AK26" i="15" s="1"/>
  <c r="M26" i="15"/>
  <c r="D26" i="15"/>
  <c r="I26" i="15"/>
  <c r="N26" i="15"/>
  <c r="Y26" i="15"/>
  <c r="C28" i="15"/>
  <c r="AF28" i="15" s="1"/>
  <c r="B27" i="15"/>
  <c r="A27" i="15"/>
  <c r="AL26" i="15" l="1"/>
  <c r="AM26" i="15"/>
  <c r="AD26" i="15"/>
  <c r="Z26" i="15" s="1"/>
  <c r="AI26" i="15" s="1"/>
  <c r="AN25" i="15"/>
  <c r="AB27" i="15"/>
  <c r="AC27" i="15"/>
  <c r="AB28" i="15"/>
  <c r="I27" i="15"/>
  <c r="M27" i="15"/>
  <c r="R27" i="15"/>
  <c r="H27" i="15"/>
  <c r="Y27" i="15"/>
  <c r="D27" i="15"/>
  <c r="N27" i="15"/>
  <c r="C29" i="15"/>
  <c r="AF29" i="15" s="1"/>
  <c r="B28" i="15"/>
  <c r="A28" i="15"/>
  <c r="AK27" i="15" l="1"/>
  <c r="AN26" i="15"/>
  <c r="AC28" i="15"/>
  <c r="AM27" i="15"/>
  <c r="AD27" i="15"/>
  <c r="Z27" i="15" s="1"/>
  <c r="AI27" i="15" s="1"/>
  <c r="AC29" i="15"/>
  <c r="I28" i="15"/>
  <c r="M28" i="15"/>
  <c r="R28" i="15"/>
  <c r="H28" i="15"/>
  <c r="AK28" i="15" s="1"/>
  <c r="D28" i="15"/>
  <c r="Y28" i="15"/>
  <c r="N28" i="15"/>
  <c r="AL27" i="15"/>
  <c r="AA28" i="15"/>
  <c r="B29" i="15"/>
  <c r="C30" i="15"/>
  <c r="AF30" i="15" s="1"/>
  <c r="A29" i="15"/>
  <c r="AD28" i="15" l="1"/>
  <c r="Z28" i="15" s="1"/>
  <c r="AI28" i="15" s="1"/>
  <c r="AN27" i="15"/>
  <c r="AM28" i="15"/>
  <c r="AL28" i="15"/>
  <c r="I29" i="15"/>
  <c r="R29" i="15"/>
  <c r="H29" i="15"/>
  <c r="AK29" i="15" s="1"/>
  <c r="M29" i="15"/>
  <c r="D29" i="15"/>
  <c r="N29" i="15"/>
  <c r="Y29" i="15"/>
  <c r="AA29" i="15"/>
  <c r="AC30" i="15"/>
  <c r="AB29" i="15"/>
  <c r="C31" i="15"/>
  <c r="AF31" i="15" s="1"/>
  <c r="B30" i="15"/>
  <c r="A30" i="15"/>
  <c r="AL29" i="15" l="1"/>
  <c r="AN28" i="15"/>
  <c r="AM29" i="15"/>
  <c r="AB30" i="15"/>
  <c r="I30" i="15"/>
  <c r="H30" i="15"/>
  <c r="R30" i="15"/>
  <c r="M30" i="15"/>
  <c r="N30" i="15"/>
  <c r="D30" i="15"/>
  <c r="Y30" i="15"/>
  <c r="AC31" i="15"/>
  <c r="AD29" i="15"/>
  <c r="Z29" i="15" s="1"/>
  <c r="AI29" i="15" s="1"/>
  <c r="AA30" i="15"/>
  <c r="C32" i="15"/>
  <c r="AF32" i="15" s="1"/>
  <c r="B31" i="15"/>
  <c r="A31" i="15"/>
  <c r="AK30" i="15" l="1"/>
  <c r="AN29" i="15"/>
  <c r="AD30" i="15"/>
  <c r="Z30" i="15" s="1"/>
  <c r="AI30" i="15" s="1"/>
  <c r="AB31" i="15"/>
  <c r="AA31" i="15"/>
  <c r="AM30" i="15"/>
  <c r="AA32" i="15"/>
  <c r="AL30" i="15"/>
  <c r="I31" i="15"/>
  <c r="M31" i="15"/>
  <c r="R31" i="15"/>
  <c r="H31" i="15"/>
  <c r="N31" i="15"/>
  <c r="Y31" i="15"/>
  <c r="D31" i="15"/>
  <c r="C33" i="15"/>
  <c r="AF33" i="15" s="1"/>
  <c r="B32" i="15"/>
  <c r="A32" i="15"/>
  <c r="AK31" i="15" l="1"/>
  <c r="AL31" i="15"/>
  <c r="AN30" i="15"/>
  <c r="AM31" i="15"/>
  <c r="AD31" i="15"/>
  <c r="Z31" i="15" s="1"/>
  <c r="AI31" i="15" s="1"/>
  <c r="AB32" i="15"/>
  <c r="AA33" i="15"/>
  <c r="I32" i="15"/>
  <c r="M32" i="15"/>
  <c r="R32" i="15"/>
  <c r="H32" i="15"/>
  <c r="D32" i="15"/>
  <c r="Y32" i="15"/>
  <c r="N32" i="15"/>
  <c r="AC32" i="15"/>
  <c r="B33" i="15"/>
  <c r="C34" i="15"/>
  <c r="AF34" i="15" s="1"/>
  <c r="A33" i="15"/>
  <c r="AK32" i="15" l="1"/>
  <c r="AD32" i="15"/>
  <c r="Z32" i="15" s="1"/>
  <c r="AI32" i="15" s="1"/>
  <c r="AB33" i="15"/>
  <c r="AN31" i="15"/>
  <c r="AL32" i="15"/>
  <c r="AM32" i="15"/>
  <c r="AC34" i="15"/>
  <c r="I33" i="15"/>
  <c r="R33" i="15"/>
  <c r="H33" i="15"/>
  <c r="M33" i="15"/>
  <c r="Y33" i="15"/>
  <c r="D33" i="15"/>
  <c r="N33" i="15"/>
  <c r="AC33" i="15"/>
  <c r="C35" i="15"/>
  <c r="AF35" i="15" s="1"/>
  <c r="B34" i="15"/>
  <c r="A34" i="15"/>
  <c r="AK33" i="15" l="1"/>
  <c r="AD33" i="15"/>
  <c r="Z33" i="15" s="1"/>
  <c r="AI33" i="15" s="1"/>
  <c r="AN32" i="15"/>
  <c r="AA34" i="15"/>
  <c r="AM33" i="15"/>
  <c r="AB34" i="15"/>
  <c r="AL33" i="15"/>
  <c r="AB35" i="15"/>
  <c r="I34" i="15"/>
  <c r="R34" i="15"/>
  <c r="H34" i="15"/>
  <c r="M34" i="15"/>
  <c r="D34" i="15"/>
  <c r="Y34" i="15"/>
  <c r="N34" i="15"/>
  <c r="C36" i="15"/>
  <c r="AF36" i="15" s="1"/>
  <c r="B35" i="15"/>
  <c r="A35" i="15"/>
  <c r="AK34" i="15" l="1"/>
  <c r="AD34" i="15"/>
  <c r="Z34" i="15" s="1"/>
  <c r="AI34" i="15" s="1"/>
  <c r="AM34" i="15"/>
  <c r="AN33" i="15"/>
  <c r="AL34" i="15"/>
  <c r="AA35" i="15"/>
  <c r="I35" i="15"/>
  <c r="M35" i="15"/>
  <c r="R35" i="15"/>
  <c r="H35" i="15"/>
  <c r="AK35" i="15" s="1"/>
  <c r="Y35" i="15"/>
  <c r="D35" i="15"/>
  <c r="N35" i="15"/>
  <c r="AB36" i="15"/>
  <c r="AC35" i="15"/>
  <c r="C37" i="15"/>
  <c r="B36" i="15"/>
  <c r="A36" i="15"/>
  <c r="AF37" i="15" l="1"/>
  <c r="AD35" i="15"/>
  <c r="Z35" i="15" s="1"/>
  <c r="AI35" i="15" s="1"/>
  <c r="AN34" i="15"/>
  <c r="AL35" i="15"/>
  <c r="AM35" i="15"/>
  <c r="I36" i="15"/>
  <c r="R36" i="15"/>
  <c r="H36" i="15"/>
  <c r="M36" i="15"/>
  <c r="D36" i="15"/>
  <c r="Y36" i="15"/>
  <c r="N36" i="15"/>
  <c r="AC36" i="15"/>
  <c r="AA36" i="15"/>
  <c r="B37" i="15"/>
  <c r="C38" i="15"/>
  <c r="AF38" i="15" s="1"/>
  <c r="A37" i="15"/>
  <c r="AB40" i="16"/>
  <c r="G57" i="16" s="1"/>
  <c r="AA40" i="16"/>
  <c r="G56" i="16" s="1"/>
  <c r="AK36" i="15" l="1"/>
  <c r="AD36" i="15"/>
  <c r="Z36" i="15" s="1"/>
  <c r="AI36" i="15" s="1"/>
  <c r="AN35" i="15"/>
  <c r="AL36" i="15"/>
  <c r="AB38" i="15"/>
  <c r="I37" i="15"/>
  <c r="R37" i="15"/>
  <c r="H37" i="15"/>
  <c r="M37" i="15"/>
  <c r="D37" i="15"/>
  <c r="N37" i="15"/>
  <c r="Y37" i="15"/>
  <c r="AC37" i="15"/>
  <c r="AM36" i="15"/>
  <c r="AA37" i="15"/>
  <c r="AB37" i="15"/>
  <c r="C39" i="15"/>
  <c r="AF39" i="15" s="1"/>
  <c r="B38" i="15"/>
  <c r="H56" i="16"/>
  <c r="H57" i="16"/>
  <c r="S12" i="36"/>
  <c r="Q12" i="36"/>
  <c r="S9" i="36"/>
  <c r="Q9" i="36"/>
  <c r="I51" i="20"/>
  <c r="S7" i="36"/>
  <c r="A38" i="15"/>
  <c r="AK37" i="15" l="1"/>
  <c r="AL45" i="15"/>
  <c r="AL46" i="15"/>
  <c r="AM46" i="15" s="1"/>
  <c r="AK46" i="16" s="1"/>
  <c r="AM46" i="16" s="1"/>
  <c r="AK46" i="17" s="1"/>
  <c r="AM46" i="17" s="1"/>
  <c r="AK46" i="18" s="1"/>
  <c r="AM46" i="18" s="1"/>
  <c r="AK46" i="19" s="1"/>
  <c r="AM46" i="19" s="1"/>
  <c r="AK46" i="20" s="1"/>
  <c r="AM46" i="20" s="1"/>
  <c r="AK46" i="21" s="1"/>
  <c r="AM46" i="21" s="1"/>
  <c r="AK46" i="22" s="1"/>
  <c r="AM46" i="22" s="1"/>
  <c r="AK46" i="23" s="1"/>
  <c r="AM46" i="23" s="1"/>
  <c r="AK46" i="24" s="1"/>
  <c r="AM46" i="24" s="1"/>
  <c r="AK46" i="25" s="1"/>
  <c r="AM46" i="25" s="1"/>
  <c r="AK46" i="26" s="1"/>
  <c r="AM46" i="26" s="1"/>
  <c r="AL37" i="15"/>
  <c r="AN36" i="15"/>
  <c r="AM37" i="15"/>
  <c r="AD37" i="15"/>
  <c r="Z37" i="15" s="1"/>
  <c r="AI37" i="15" s="1"/>
  <c r="I38" i="15"/>
  <c r="R38" i="15"/>
  <c r="M38" i="15"/>
  <c r="H38" i="15"/>
  <c r="N38" i="15"/>
  <c r="D38" i="15"/>
  <c r="Y38" i="15"/>
  <c r="AC38" i="15"/>
  <c r="AA38" i="15"/>
  <c r="B39" i="15"/>
  <c r="G56" i="23"/>
  <c r="R12" i="36"/>
  <c r="G57" i="23"/>
  <c r="G58" i="23"/>
  <c r="P12" i="36"/>
  <c r="U12" i="36"/>
  <c r="P9" i="36"/>
  <c r="G58" i="20"/>
  <c r="G57" i="20"/>
  <c r="W7" i="36"/>
  <c r="X7" i="36"/>
  <c r="G57" i="18"/>
  <c r="T7" i="36"/>
  <c r="Q14" i="36"/>
  <c r="S14" i="36"/>
  <c r="V14" i="36"/>
  <c r="U14" i="36"/>
  <c r="W14" i="36"/>
  <c r="U13" i="36"/>
  <c r="V13" i="36"/>
  <c r="V12" i="36"/>
  <c r="G58" i="24"/>
  <c r="X12" i="36"/>
  <c r="Y13" i="36"/>
  <c r="W12" i="36"/>
  <c r="Y12" i="36"/>
  <c r="I51" i="23"/>
  <c r="T11" i="36"/>
  <c r="G57" i="22"/>
  <c r="G58" i="22"/>
  <c r="X11" i="36"/>
  <c r="R11" i="36"/>
  <c r="Q10" i="36"/>
  <c r="I51" i="21"/>
  <c r="G58" i="21"/>
  <c r="T10" i="36"/>
  <c r="X10" i="36"/>
  <c r="Y10" i="36"/>
  <c r="R10" i="36"/>
  <c r="U10" i="36"/>
  <c r="P10" i="36"/>
  <c r="S10" i="36"/>
  <c r="W9" i="36"/>
  <c r="V9" i="36"/>
  <c r="R9" i="36"/>
  <c r="Y9" i="36"/>
  <c r="X9" i="36"/>
  <c r="G56" i="20"/>
  <c r="U9" i="36"/>
  <c r="T9" i="36"/>
  <c r="U7" i="36"/>
  <c r="G58" i="18"/>
  <c r="V7" i="36"/>
  <c r="Q7" i="36"/>
  <c r="I51" i="18"/>
  <c r="Y7" i="36"/>
  <c r="R7" i="36"/>
  <c r="P7" i="36"/>
  <c r="AB40" i="17"/>
  <c r="G57" i="17" s="1"/>
  <c r="AC40" i="17"/>
  <c r="G58" i="17" s="1"/>
  <c r="V6" i="36"/>
  <c r="T6" i="36"/>
  <c r="S6" i="36"/>
  <c r="A39" i="15"/>
  <c r="AK38" i="15" l="1"/>
  <c r="AM45" i="15"/>
  <c r="AK45" i="16" s="1"/>
  <c r="AM45" i="16" s="1"/>
  <c r="AN37" i="15"/>
  <c r="AA39" i="15"/>
  <c r="AL43" i="15"/>
  <c r="AM43" i="15" s="1"/>
  <c r="AK43" i="16" s="1"/>
  <c r="AM43" i="16" s="1"/>
  <c r="AK43" i="17" s="1"/>
  <c r="AM43" i="17" s="1"/>
  <c r="AK43" i="18" s="1"/>
  <c r="AM43" i="18" s="1"/>
  <c r="AK43" i="19" s="1"/>
  <c r="AM43" i="19" s="1"/>
  <c r="AK43" i="20" s="1"/>
  <c r="AM43" i="20" s="1"/>
  <c r="AK43" i="21" s="1"/>
  <c r="AM43" i="21" s="1"/>
  <c r="AK43" i="22" s="1"/>
  <c r="AM43" i="22" s="1"/>
  <c r="AK43" i="23" s="1"/>
  <c r="AM43" i="23" s="1"/>
  <c r="AK43" i="24" s="1"/>
  <c r="AM43" i="24" s="1"/>
  <c r="AK43" i="25" s="1"/>
  <c r="AM43" i="25" s="1"/>
  <c r="AK43" i="26" s="1"/>
  <c r="AM43" i="26" s="1"/>
  <c r="AL44" i="15"/>
  <c r="AM44" i="15" s="1"/>
  <c r="AK44" i="16" s="1"/>
  <c r="AM44" i="16" s="1"/>
  <c r="AK44" i="17" s="1"/>
  <c r="AM44" i="17" s="1"/>
  <c r="AK44" i="18" s="1"/>
  <c r="AM44" i="18" s="1"/>
  <c r="AK44" i="19" s="1"/>
  <c r="AM44" i="19" s="1"/>
  <c r="AK44" i="20" s="1"/>
  <c r="AM44" i="20" s="1"/>
  <c r="AK44" i="21" s="1"/>
  <c r="AM44" i="21" s="1"/>
  <c r="AK44" i="22" s="1"/>
  <c r="AM44" i="22" s="1"/>
  <c r="AK44" i="23" s="1"/>
  <c r="AM44" i="23" s="1"/>
  <c r="AK44" i="24" s="1"/>
  <c r="AM44" i="24" s="1"/>
  <c r="AK44" i="25" s="1"/>
  <c r="AM44" i="25" s="1"/>
  <c r="AK44" i="26" s="1"/>
  <c r="AM44" i="26" s="1"/>
  <c r="AL47" i="15"/>
  <c r="AL48" i="15"/>
  <c r="AM38" i="15"/>
  <c r="AC39" i="15"/>
  <c r="AD38" i="15"/>
  <c r="Z38" i="15" s="1"/>
  <c r="AI38" i="15" s="1"/>
  <c r="AB39" i="15"/>
  <c r="AL38" i="15"/>
  <c r="I39" i="15"/>
  <c r="M39" i="15"/>
  <c r="R39" i="15"/>
  <c r="H39" i="15"/>
  <c r="N39" i="15"/>
  <c r="Y39" i="15"/>
  <c r="D39" i="15"/>
  <c r="H57" i="18"/>
  <c r="H56" i="23"/>
  <c r="H58" i="18"/>
  <c r="H58" i="23"/>
  <c r="H56" i="20"/>
  <c r="H57" i="23"/>
  <c r="H57" i="20"/>
  <c r="H58" i="20"/>
  <c r="U8" i="36"/>
  <c r="T8" i="36"/>
  <c r="S8" i="36"/>
  <c r="Q8" i="36"/>
  <c r="X8" i="36"/>
  <c r="R8" i="36"/>
  <c r="V8" i="36"/>
  <c r="P8" i="36"/>
  <c r="Y8" i="36"/>
  <c r="W8" i="36"/>
  <c r="H58" i="24"/>
  <c r="H58" i="22"/>
  <c r="H58" i="21"/>
  <c r="H58" i="17"/>
  <c r="N12" i="36"/>
  <c r="G57" i="25"/>
  <c r="G57" i="24"/>
  <c r="I51" i="25"/>
  <c r="G58" i="25"/>
  <c r="X14" i="36"/>
  <c r="P14" i="36"/>
  <c r="R14" i="36"/>
  <c r="T14" i="36"/>
  <c r="Y14" i="36"/>
  <c r="Q13" i="36"/>
  <c r="R13" i="36"/>
  <c r="S13" i="36"/>
  <c r="P13" i="36"/>
  <c r="W13" i="36"/>
  <c r="X13" i="36"/>
  <c r="I51" i="24"/>
  <c r="T13" i="36"/>
  <c r="T12" i="36"/>
  <c r="O12" i="36"/>
  <c r="V11" i="36"/>
  <c r="P11" i="36"/>
  <c r="Y11" i="36"/>
  <c r="I51" i="22"/>
  <c r="W11" i="36"/>
  <c r="S11" i="36"/>
  <c r="U11" i="36"/>
  <c r="Q11" i="36"/>
  <c r="G56" i="21"/>
  <c r="W10" i="36"/>
  <c r="G57" i="21"/>
  <c r="V10" i="36"/>
  <c r="G56" i="18"/>
  <c r="H56" i="18" s="1"/>
  <c r="Q6" i="36"/>
  <c r="U6" i="36"/>
  <c r="X6" i="36"/>
  <c r="AA40" i="17"/>
  <c r="G56" i="17" s="1"/>
  <c r="I51" i="17"/>
  <c r="Y6" i="36"/>
  <c r="W6" i="36"/>
  <c r="P6" i="36"/>
  <c r="R6" i="36"/>
  <c r="AI40" i="16"/>
  <c r="AK39" i="15" l="1"/>
  <c r="AM48" i="15"/>
  <c r="AK48" i="16" s="1"/>
  <c r="AM47" i="15"/>
  <c r="AK47" i="16" s="1"/>
  <c r="AK45" i="17"/>
  <c r="AM45" i="17" s="1"/>
  <c r="AD39" i="15"/>
  <c r="Z39" i="15" s="1"/>
  <c r="AI39" i="15" s="1"/>
  <c r="AN38" i="15"/>
  <c r="AL39" i="15"/>
  <c r="AM39" i="15"/>
  <c r="H58" i="25"/>
  <c r="H57" i="24"/>
  <c r="H57" i="25"/>
  <c r="H56" i="21"/>
  <c r="H57" i="21"/>
  <c r="H57" i="22"/>
  <c r="H56" i="17"/>
  <c r="H57" i="17"/>
  <c r="Z12" i="36"/>
  <c r="AI40" i="17"/>
  <c r="G56" i="25"/>
  <c r="H56" i="25" s="1"/>
  <c r="O9" i="36"/>
  <c r="Z9" i="36" s="1"/>
  <c r="N9" i="36"/>
  <c r="O14" i="36"/>
  <c r="Z14" i="36" s="1"/>
  <c r="N14" i="36"/>
  <c r="G56" i="24"/>
  <c r="H56" i="24" s="1"/>
  <c r="I43" i="23"/>
  <c r="H43" i="23" s="1"/>
  <c r="AA12" i="36"/>
  <c r="G56" i="22"/>
  <c r="H56" i="22" s="1"/>
  <c r="I51" i="19"/>
  <c r="G57" i="19"/>
  <c r="G58" i="19"/>
  <c r="O7" i="36"/>
  <c r="Z7" i="36" s="1"/>
  <c r="N7" i="36"/>
  <c r="Z40" i="17"/>
  <c r="AD40" i="17"/>
  <c r="O6" i="36" s="1"/>
  <c r="Z6" i="36" s="1"/>
  <c r="N6" i="36"/>
  <c r="AM47" i="16" l="1"/>
  <c r="AK47" i="17" s="1"/>
  <c r="AM47" i="17" s="1"/>
  <c r="AK47" i="18" s="1"/>
  <c r="AM48" i="16"/>
  <c r="AK48" i="17" s="1"/>
  <c r="AM48" i="17" s="1"/>
  <c r="AK48" i="18" s="1"/>
  <c r="AK45" i="18"/>
  <c r="AM45" i="18" s="1"/>
  <c r="AN39" i="15"/>
  <c r="H58" i="19"/>
  <c r="H57" i="19"/>
  <c r="AB12" i="36"/>
  <c r="N13" i="36"/>
  <c r="O13" i="36"/>
  <c r="Z13" i="36" s="1"/>
  <c r="A43" i="23"/>
  <c r="O11" i="36"/>
  <c r="Z11" i="36" s="1"/>
  <c r="N11" i="36"/>
  <c r="N10" i="36"/>
  <c r="O10" i="36"/>
  <c r="Z10" i="36" s="1"/>
  <c r="N8" i="36"/>
  <c r="G56" i="19"/>
  <c r="H56" i="19" s="1"/>
  <c r="AA6" i="36"/>
  <c r="I43" i="17"/>
  <c r="H43" i="17" s="1"/>
  <c r="AM48" i="18" l="1"/>
  <c r="AK48" i="19" s="1"/>
  <c r="AM47" i="18"/>
  <c r="AK47" i="19" s="1"/>
  <c r="AK45" i="19"/>
  <c r="AM45" i="19" s="1"/>
  <c r="AA9" i="36"/>
  <c r="AB9" i="36" s="1"/>
  <c r="I43" i="20"/>
  <c r="H43" i="20" s="1"/>
  <c r="I43" i="25"/>
  <c r="H43" i="25" s="1"/>
  <c r="AA14" i="36"/>
  <c r="AB14" i="36" s="1"/>
  <c r="AA10" i="36"/>
  <c r="AB10" i="36" s="1"/>
  <c r="I43" i="21"/>
  <c r="H43" i="21" s="1"/>
  <c r="AA7" i="36"/>
  <c r="AB7" i="36" s="1"/>
  <c r="I43" i="18"/>
  <c r="H43" i="18" s="1"/>
  <c r="A43" i="17"/>
  <c r="AB6" i="36"/>
  <c r="AM47" i="19" l="1"/>
  <c r="AK47" i="20" s="1"/>
  <c r="AM48" i="19"/>
  <c r="AK48" i="20" s="1"/>
  <c r="AK45" i="20"/>
  <c r="AM45" i="20" s="1"/>
  <c r="O8" i="36"/>
  <c r="Z8" i="36" s="1"/>
  <c r="A43" i="20"/>
  <c r="A43" i="25"/>
  <c r="AA11" i="36"/>
  <c r="AB11" i="36" s="1"/>
  <c r="I43" i="22"/>
  <c r="H43" i="22" s="1"/>
  <c r="A43" i="21"/>
  <c r="AA8" i="36"/>
  <c r="A43" i="18"/>
  <c r="AM48" i="20" l="1"/>
  <c r="AK48" i="21" s="1"/>
  <c r="AM47" i="20"/>
  <c r="AK47" i="21" s="1"/>
  <c r="AK45" i="21"/>
  <c r="AM45" i="21" s="1"/>
  <c r="A43" i="22"/>
  <c r="AB8" i="36"/>
  <c r="I43" i="19"/>
  <c r="H43" i="19" s="1"/>
  <c r="AM47" i="21" l="1"/>
  <c r="AK47" i="22" s="1"/>
  <c r="AM48" i="21"/>
  <c r="AK48" i="22" s="1"/>
  <c r="AK45" i="22"/>
  <c r="AM45" i="22" s="1"/>
  <c r="A43" i="19"/>
  <c r="AM47" i="22" l="1"/>
  <c r="AK47" i="23" s="1"/>
  <c r="AM48" i="22"/>
  <c r="AK48" i="23" s="1"/>
  <c r="AK45" i="23"/>
  <c r="AM45" i="23" s="1"/>
  <c r="W15" i="36"/>
  <c r="R15" i="36"/>
  <c r="G57" i="26"/>
  <c r="T15" i="36"/>
  <c r="Y15" i="36"/>
  <c r="U15" i="36"/>
  <c r="Q15" i="36"/>
  <c r="X15" i="36"/>
  <c r="I51" i="26"/>
  <c r="V15" i="36"/>
  <c r="P15" i="36"/>
  <c r="G56" i="26"/>
  <c r="G58" i="26"/>
  <c r="S15" i="36"/>
  <c r="AM47" i="23" l="1"/>
  <c r="AK47" i="24" s="1"/>
  <c r="AM48" i="23"/>
  <c r="AK48" i="24" s="1"/>
  <c r="AK45" i="24"/>
  <c r="AM45" i="24" s="1"/>
  <c r="H56" i="26"/>
  <c r="O15" i="36"/>
  <c r="N15" i="36"/>
  <c r="H58" i="26"/>
  <c r="AM48" i="24" l="1"/>
  <c r="AK48" i="25" s="1"/>
  <c r="AM47" i="24"/>
  <c r="AK47" i="25" s="1"/>
  <c r="AK45" i="25"/>
  <c r="AM45" i="25" s="1"/>
  <c r="H57" i="26"/>
  <c r="I43" i="26"/>
  <c r="H43" i="26" s="1"/>
  <c r="AA15" i="36"/>
  <c r="Z15" i="36"/>
  <c r="AM47" i="25" l="1"/>
  <c r="AK47" i="26" s="1"/>
  <c r="AM47" i="26" s="1"/>
  <c r="AM48" i="25"/>
  <c r="AK48" i="26" s="1"/>
  <c r="AM48" i="26" s="1"/>
  <c r="AK45" i="26"/>
  <c r="AM45" i="26" s="1"/>
  <c r="A43" i="26"/>
  <c r="AB15" i="36"/>
  <c r="V5" i="36"/>
  <c r="N5" i="36"/>
  <c r="S5" i="36"/>
  <c r="P5" i="36"/>
  <c r="T5" i="36"/>
  <c r="U5" i="36"/>
  <c r="Q5" i="36"/>
  <c r="Y5" i="36"/>
  <c r="AD40" i="16"/>
  <c r="O5" i="36" s="1"/>
  <c r="R5" i="36"/>
  <c r="W5" i="36"/>
  <c r="X5" i="36"/>
  <c r="I51" i="16"/>
  <c r="AC40" i="16"/>
  <c r="G58" i="16" s="1"/>
  <c r="H58" i="16" s="1"/>
  <c r="Z5" i="36" l="1"/>
  <c r="AH40" i="16"/>
  <c r="AE5" i="36" s="1"/>
  <c r="AE16" i="36" s="1"/>
  <c r="Z40" i="16"/>
  <c r="I43" i="16" s="1"/>
  <c r="H43" i="16" s="1"/>
  <c r="AA5" i="36" l="1"/>
  <c r="AB5" i="36" l="1"/>
  <c r="A43" i="16"/>
  <c r="W4" i="36"/>
  <c r="W16" i="36" s="1"/>
  <c r="Y4" i="36"/>
  <c r="Y16" i="36" s="1"/>
  <c r="AC9" i="15"/>
  <c r="R9" i="15" s="1"/>
  <c r="Q4" i="36"/>
  <c r="Q16" i="36" s="1"/>
  <c r="U4" i="36"/>
  <c r="U16" i="36" s="1"/>
  <c r="S4" i="36"/>
  <c r="S16" i="36" s="1"/>
  <c r="Y9" i="15"/>
  <c r="AB9" i="15"/>
  <c r="M9" i="15" s="1"/>
  <c r="V4" i="36"/>
  <c r="V16" i="36" s="1"/>
  <c r="I51" i="15"/>
  <c r="I53" i="15" l="1"/>
  <c r="I50" i="16" s="1"/>
  <c r="I53" i="16" s="1"/>
  <c r="I50" i="17" s="1"/>
  <c r="I53" i="17" s="1"/>
  <c r="I50" i="18" s="1"/>
  <c r="I53" i="18" s="1"/>
  <c r="AB40" i="15"/>
  <c r="G57" i="15" s="1"/>
  <c r="AC40" i="15"/>
  <c r="G58" i="15" s="1"/>
  <c r="AJ4" i="36" l="1"/>
  <c r="R4" i="36"/>
  <c r="R16" i="36" s="1"/>
  <c r="AJ6" i="36"/>
  <c r="AJ5" i="36"/>
  <c r="P4" i="36"/>
  <c r="P16" i="36" s="1"/>
  <c r="AJ7" i="36"/>
  <c r="I50" i="19"/>
  <c r="I53" i="19" s="1"/>
  <c r="AJ8" i="36" l="1"/>
  <c r="I50" i="20"/>
  <c r="I53" i="20" s="1"/>
  <c r="I50" i="21" l="1"/>
  <c r="I53" i="21" s="1"/>
  <c r="AJ9" i="36"/>
  <c r="Y40" i="15" l="1"/>
  <c r="I50" i="22"/>
  <c r="I53" i="22" s="1"/>
  <c r="AJ10" i="36"/>
  <c r="AJ11" i="36" l="1"/>
  <c r="I50" i="23"/>
  <c r="I53" i="23" s="1"/>
  <c r="AJ12" i="36" l="1"/>
  <c r="I50" i="24"/>
  <c r="I53" i="24" s="1"/>
  <c r="AJ13" i="36" l="1"/>
  <c r="I50" i="25"/>
  <c r="I53" i="25" s="1"/>
  <c r="I50" i="26" l="1"/>
  <c r="I53" i="26" s="1"/>
  <c r="AJ15" i="36" s="1"/>
  <c r="AJ14" i="36"/>
  <c r="F57" i="15" l="1"/>
  <c r="H57" i="15" s="1"/>
  <c r="I57" i="15" s="1"/>
  <c r="I57" i="16" s="1"/>
  <c r="I57" i="17" s="1"/>
  <c r="I57" i="18" s="1"/>
  <c r="I57" i="19" s="1"/>
  <c r="I57" i="20" s="1"/>
  <c r="I57" i="21" s="1"/>
  <c r="I57" i="22" s="1"/>
  <c r="I57" i="23" s="1"/>
  <c r="I57" i="24" s="1"/>
  <c r="I57" i="25" s="1"/>
  <c r="I57" i="26" s="1"/>
  <c r="F58" i="15"/>
  <c r="H58" i="15" l="1"/>
  <c r="I58" i="15" s="1"/>
  <c r="AA9" i="15"/>
  <c r="H9" i="15" s="1"/>
  <c r="AM9" i="15" l="1"/>
  <c r="AK9" i="15"/>
  <c r="AL9" i="15"/>
  <c r="F56" i="15"/>
  <c r="I58" i="16"/>
  <c r="I58" i="17" s="1"/>
  <c r="I58" i="18" s="1"/>
  <c r="I58" i="19" s="1"/>
  <c r="I58" i="20" s="1"/>
  <c r="I58" i="21" s="1"/>
  <c r="I58" i="22" s="1"/>
  <c r="I58" i="23" s="1"/>
  <c r="I58" i="24" s="1"/>
  <c r="I58" i="25" s="1"/>
  <c r="I58" i="26" s="1"/>
  <c r="AA40" i="15"/>
  <c r="G56" i="15" s="1"/>
  <c r="AD9" i="15"/>
  <c r="AN9" i="15" l="1"/>
  <c r="X4" i="36"/>
  <c r="X16" i="36" s="1"/>
  <c r="T4" i="36"/>
  <c r="T16" i="36" s="1"/>
  <c r="H56" i="15"/>
  <c r="I56" i="15" s="1"/>
  <c r="I56" i="16" s="1"/>
  <c r="I56" i="17" s="1"/>
  <c r="I56" i="18" s="1"/>
  <c r="I56" i="19" s="1"/>
  <c r="I56" i="20" s="1"/>
  <c r="I56" i="21" s="1"/>
  <c r="I56" i="22" s="1"/>
  <c r="I56" i="23" s="1"/>
  <c r="I56" i="24" s="1"/>
  <c r="I56" i="25" s="1"/>
  <c r="I56" i="26" s="1"/>
  <c r="N4" i="36"/>
  <c r="N16" i="36" s="1"/>
  <c r="AD40" i="15"/>
  <c r="O4" i="36" s="1"/>
  <c r="O16" i="36" s="1"/>
  <c r="Z9" i="15"/>
  <c r="AI9" i="15" s="1"/>
  <c r="Z40" i="15" l="1"/>
  <c r="I43" i="15" s="1"/>
  <c r="AI40" i="15"/>
  <c r="Z4" i="36"/>
  <c r="Z16" i="36" s="1"/>
  <c r="H43" i="15" l="1"/>
  <c r="A43" i="15"/>
  <c r="AA4" i="36"/>
  <c r="AB4" i="36" l="1"/>
  <c r="AI40" i="24" l="1"/>
  <c r="Z40" i="24" l="1"/>
  <c r="I43" i="24" s="1"/>
  <c r="H43" i="24" l="1"/>
  <c r="AA13" i="36" l="1"/>
  <c r="A43" i="24"/>
  <c r="AB13" i="36" l="1"/>
  <c r="AA16" i="36"/>
  <c r="AE40" i="15" l="1"/>
  <c r="H44" i="15"/>
  <c r="A44" i="15"/>
  <c r="AC4" i="36"/>
  <c r="AD4" i="36" s="1"/>
  <c r="AE9" i="15"/>
  <c r="AE10" i="15" s="1"/>
  <c r="AE11" i="15" s="1"/>
  <c r="AE12" i="15" s="1"/>
  <c r="AE13" i="15" s="1"/>
  <c r="AE14" i="15" s="1"/>
  <c r="AE15" i="15" s="1"/>
  <c r="AE16" i="15" s="1"/>
  <c r="AE17" i="15" s="1"/>
  <c r="AE18" i="15" s="1"/>
  <c r="AE19" i="15" s="1"/>
  <c r="AE20" i="15" s="1"/>
  <c r="AE21" i="15" s="1"/>
  <c r="AE22" i="15" s="1"/>
  <c r="AE23" i="15" s="1"/>
  <c r="AE24" i="15" s="1"/>
  <c r="AE25" i="15" s="1"/>
  <c r="AE26" i="15" s="1"/>
  <c r="AE27" i="15" s="1"/>
  <c r="AE28" i="15" s="1"/>
  <c r="AE29" i="15" s="1"/>
  <c r="AE30" i="15" s="1"/>
  <c r="AE31" i="15" s="1"/>
  <c r="AE32" i="15" s="1"/>
  <c r="AE33" i="15" s="1"/>
  <c r="AE34" i="15" s="1"/>
  <c r="AE35" i="15" s="1"/>
  <c r="AE36" i="15" s="1"/>
  <c r="AE37" i="15" s="1"/>
  <c r="AE38" i="15" s="1"/>
  <c r="AE39" i="15" s="1"/>
  <c r="AH4" i="36"/>
  <c r="AG4" i="36" l="1"/>
  <c r="AK4" i="36" l="1"/>
  <c r="AL4" i="36"/>
  <c r="AI4" i="36"/>
  <c r="I46" i="15"/>
  <c r="P46" i="15" s="1"/>
  <c r="I44" i="16" l="1"/>
  <c r="I46" i="16" s="1"/>
  <c r="P46" i="16" s="1"/>
  <c r="A46" i="15"/>
  <c r="H46" i="15"/>
  <c r="AE9" i="16" l="1"/>
  <c r="AE10" i="16" s="1"/>
  <c r="AE40" i="16"/>
  <c r="H44" i="16"/>
  <c r="AC5" i="36"/>
  <c r="AD5" i="36" s="1"/>
  <c r="A44" i="16"/>
  <c r="I44" i="17"/>
  <c r="AE40" i="17" s="1"/>
  <c r="H46" i="16"/>
  <c r="A46" i="16"/>
  <c r="L46" i="15"/>
  <c r="L46" i="16"/>
  <c r="AC6" i="36" l="1"/>
  <c r="AD6" i="36" s="1"/>
  <c r="I46" i="17"/>
  <c r="P46" i="17" s="1"/>
  <c r="L46" i="17" s="1"/>
  <c r="AE9" i="17"/>
  <c r="AE10" i="17" s="1"/>
  <c r="H44" i="17"/>
  <c r="A44" i="17"/>
  <c r="H46" i="17"/>
  <c r="I44" i="18"/>
  <c r="AE11" i="16"/>
  <c r="A46" i="17" l="1"/>
  <c r="AE12" i="16"/>
  <c r="H44" i="18"/>
  <c r="AE40" i="18"/>
  <c r="A44" i="18"/>
  <c r="AC7" i="36"/>
  <c r="AD7" i="36" s="1"/>
  <c r="AE9" i="18"/>
  <c r="I46" i="18"/>
  <c r="P46" i="18" s="1"/>
  <c r="AE11" i="17"/>
  <c r="AE10" i="18" l="1"/>
  <c r="AE12" i="17"/>
  <c r="A46" i="18"/>
  <c r="H46" i="18"/>
  <c r="I44" i="19"/>
  <c r="AE13" i="16"/>
  <c r="L46" i="18" l="1"/>
  <c r="AE11" i="18"/>
  <c r="AE40" i="19"/>
  <c r="H44" i="19"/>
  <c r="A44" i="19"/>
  <c r="AC8" i="36"/>
  <c r="AD8" i="36" s="1"/>
  <c r="AE9" i="19"/>
  <c r="I46" i="19"/>
  <c r="AE13" i="17"/>
  <c r="AE14" i="16"/>
  <c r="P46" i="19" l="1"/>
  <c r="L46" i="19" s="1"/>
  <c r="AE14" i="17"/>
  <c r="H46" i="19"/>
  <c r="A46" i="19"/>
  <c r="I44" i="20"/>
  <c r="AE10" i="19"/>
  <c r="AE15" i="16"/>
  <c r="AE12" i="18"/>
  <c r="AE16" i="16" l="1"/>
  <c r="AE13" i="18"/>
  <c r="AE11" i="19"/>
  <c r="AE40" i="20"/>
  <c r="H44" i="20"/>
  <c r="AC9" i="36"/>
  <c r="AD9" i="36" s="1"/>
  <c r="A44" i="20"/>
  <c r="AE9" i="20"/>
  <c r="I46" i="20"/>
  <c r="P46" i="20" s="1"/>
  <c r="AE15" i="17"/>
  <c r="A46" i="20" l="1"/>
  <c r="H46" i="20"/>
  <c r="I44" i="21"/>
  <c r="AE12" i="19"/>
  <c r="AE17" i="16"/>
  <c r="AE10" i="20"/>
  <c r="AE16" i="17"/>
  <c r="AE14" i="18"/>
  <c r="L46" i="20" l="1"/>
  <c r="AE11" i="20"/>
  <c r="AE13" i="19"/>
  <c r="AE17" i="17"/>
  <c r="AE18" i="16"/>
  <c r="AC10" i="36"/>
  <c r="AD10" i="36" s="1"/>
  <c r="H44" i="21"/>
  <c r="A44" i="21"/>
  <c r="AE40" i="21"/>
  <c r="AE9" i="21"/>
  <c r="I46" i="21"/>
  <c r="AE15" i="18"/>
  <c r="P46" i="21" l="1"/>
  <c r="L46" i="21" s="1"/>
  <c r="AE12" i="20"/>
  <c r="AE10" i="21"/>
  <c r="AE16" i="18"/>
  <c r="AE18" i="17"/>
  <c r="AE19" i="16"/>
  <c r="H46" i="21"/>
  <c r="A46" i="21"/>
  <c r="I44" i="22"/>
  <c r="AE14" i="19"/>
  <c r="AE15" i="19" l="1"/>
  <c r="AE19" i="17"/>
  <c r="AE13" i="20"/>
  <c r="H44" i="22"/>
  <c r="A44" i="22"/>
  <c r="AC11" i="36"/>
  <c r="AD11" i="36" s="1"/>
  <c r="AE40" i="22"/>
  <c r="AE9" i="22"/>
  <c r="I46" i="22"/>
  <c r="AE20" i="16"/>
  <c r="AE17" i="18"/>
  <c r="AE11" i="21"/>
  <c r="P46" i="22" l="1"/>
  <c r="L46" i="22" s="1"/>
  <c r="AE16" i="19"/>
  <c r="AE12" i="21"/>
  <c r="AE18" i="18"/>
  <c r="AE14" i="20"/>
  <c r="AE10" i="22"/>
  <c r="AE21" i="16"/>
  <c r="AE20" i="17"/>
  <c r="A46" i="22"/>
  <c r="H46" i="22"/>
  <c r="I44" i="23"/>
  <c r="AE19" i="18" l="1"/>
  <c r="AE21" i="17"/>
  <c r="AE11" i="22"/>
  <c r="AE40" i="23"/>
  <c r="A44" i="23"/>
  <c r="AC12" i="36"/>
  <c r="AD12" i="36" s="1"/>
  <c r="H44" i="23"/>
  <c r="AE9" i="23"/>
  <c r="I46" i="23"/>
  <c r="P46" i="23" s="1"/>
  <c r="L46" i="23" s="1"/>
  <c r="AE13" i="21"/>
  <c r="AE22" i="16"/>
  <c r="AE15" i="20"/>
  <c r="AE17" i="19"/>
  <c r="AE16" i="20" l="1"/>
  <c r="AE10" i="23"/>
  <c r="AE18" i="19"/>
  <c r="AE23" i="16"/>
  <c r="AE12" i="22"/>
  <c r="AE14" i="21"/>
  <c r="AE22" i="17"/>
  <c r="A46" i="23"/>
  <c r="H46" i="23"/>
  <c r="I44" i="24"/>
  <c r="AE20" i="18"/>
  <c r="AE15" i="21" l="1"/>
  <c r="AE23" i="17"/>
  <c r="AE21" i="18"/>
  <c r="AE19" i="19"/>
  <c r="AE13" i="22"/>
  <c r="AE24" i="16"/>
  <c r="H44" i="24"/>
  <c r="AE40" i="24"/>
  <c r="A44" i="24"/>
  <c r="AC13" i="36"/>
  <c r="AD13" i="36" s="1"/>
  <c r="AE9" i="24"/>
  <c r="I46" i="24"/>
  <c r="P46" i="24" s="1"/>
  <c r="L46" i="24" s="1"/>
  <c r="AE11" i="23"/>
  <c r="AE17" i="20"/>
  <c r="AE14" i="22" l="1"/>
  <c r="AE18" i="20"/>
  <c r="AE20" i="19"/>
  <c r="AE10" i="24"/>
  <c r="AE22" i="18"/>
  <c r="AE25" i="16"/>
  <c r="A46" i="24"/>
  <c r="H46" i="24"/>
  <c r="I44" i="25"/>
  <c r="AE24" i="17"/>
  <c r="AE12" i="23"/>
  <c r="AE16" i="21"/>
  <c r="AE15" i="22" l="1"/>
  <c r="AE23" i="18"/>
  <c r="AE17" i="21"/>
  <c r="AE21" i="19"/>
  <c r="H44" i="25"/>
  <c r="AC14" i="36"/>
  <c r="AD14" i="36" s="1"/>
  <c r="A44" i="25"/>
  <c r="AE40" i="25"/>
  <c r="AE9" i="25"/>
  <c r="I46" i="25"/>
  <c r="P46" i="25" s="1"/>
  <c r="L46" i="25" s="1"/>
  <c r="AE26" i="16"/>
  <c r="AE11" i="24"/>
  <c r="AE13" i="23"/>
  <c r="AE25" i="17"/>
  <c r="AE19" i="20"/>
  <c r="AE22" i="19" l="1"/>
  <c r="AE26" i="17"/>
  <c r="AE18" i="21"/>
  <c r="AE12" i="24"/>
  <c r="H46" i="25"/>
  <c r="A46" i="25"/>
  <c r="I44" i="26"/>
  <c r="AE24" i="18"/>
  <c r="AE20" i="20"/>
  <c r="AE14" i="23"/>
  <c r="AE27" i="16"/>
  <c r="AE10" i="25"/>
  <c r="AE16" i="22"/>
  <c r="AE17" i="22" l="1"/>
  <c r="H44" i="26"/>
  <c r="A44" i="26"/>
  <c r="AE40" i="26"/>
  <c r="I46" i="26"/>
  <c r="P46" i="26" s="1"/>
  <c r="L46" i="26" s="1"/>
  <c r="AC15" i="36"/>
  <c r="AD15" i="36" s="1"/>
  <c r="AE9" i="26"/>
  <c r="AE11" i="25"/>
  <c r="AE28" i="16"/>
  <c r="AE13" i="24"/>
  <c r="AE15" i="23"/>
  <c r="AE19" i="21"/>
  <c r="AE21" i="20"/>
  <c r="AE27" i="17"/>
  <c r="AE25" i="18"/>
  <c r="AE23" i="19"/>
  <c r="AE18" i="22" l="1"/>
  <c r="AE26" i="18"/>
  <c r="AE10" i="26"/>
  <c r="AE12" i="25"/>
  <c r="AE22" i="20"/>
  <c r="A46" i="26"/>
  <c r="H46" i="26"/>
  <c r="AE20" i="21"/>
  <c r="AE16" i="23"/>
  <c r="AE29" i="16"/>
  <c r="AE24" i="19"/>
  <c r="AE28" i="17"/>
  <c r="AE14" i="24"/>
  <c r="AE21" i="21" l="1"/>
  <c r="AE15" i="24"/>
  <c r="AE23" i="20"/>
  <c r="AE29" i="17"/>
  <c r="AE13" i="25"/>
  <c r="AE25" i="19"/>
  <c r="AE11" i="26"/>
  <c r="AE30" i="16"/>
  <c r="AE27" i="18"/>
  <c r="AE17" i="23"/>
  <c r="AE19" i="22"/>
  <c r="AE22" i="21" l="1"/>
  <c r="AE14" i="25"/>
  <c r="AE28" i="18"/>
  <c r="AE31" i="16"/>
  <c r="AE12" i="26"/>
  <c r="AE26" i="19"/>
  <c r="AE30" i="17"/>
  <c r="AE20" i="22"/>
  <c r="AE24" i="20"/>
  <c r="AE18" i="23"/>
  <c r="AE16" i="24"/>
  <c r="AE21" i="22" l="1"/>
  <c r="AE27" i="19"/>
  <c r="AE31" i="17"/>
  <c r="AE13" i="26"/>
  <c r="AE32" i="16"/>
  <c r="AE17" i="24"/>
  <c r="AE29" i="18"/>
  <c r="AE19" i="23"/>
  <c r="AE15" i="25"/>
  <c r="AE25" i="20"/>
  <c r="AE23" i="21"/>
  <c r="AE18" i="24" l="1"/>
  <c r="AE14" i="26"/>
  <c r="AE30" i="18"/>
  <c r="AE32" i="17"/>
  <c r="AE24" i="21"/>
  <c r="AE28" i="19"/>
  <c r="AE20" i="23"/>
  <c r="AE33" i="16"/>
  <c r="AE26" i="20"/>
  <c r="AE16" i="25"/>
  <c r="AE22" i="22"/>
  <c r="AE29" i="19" l="1"/>
  <c r="AE34" i="16"/>
  <c r="AE25" i="21"/>
  <c r="AE23" i="22"/>
  <c r="AE31" i="18"/>
  <c r="AE21" i="23"/>
  <c r="AE33" i="17"/>
  <c r="AE17" i="25"/>
  <c r="AE15" i="26"/>
  <c r="AE27" i="20"/>
  <c r="AE19" i="24"/>
  <c r="AE18" i="25" l="1"/>
  <c r="AE22" i="23"/>
  <c r="AE30" i="19"/>
  <c r="AE32" i="18"/>
  <c r="AE16" i="26"/>
  <c r="AE34" i="17"/>
  <c r="AE24" i="22"/>
  <c r="AE20" i="24"/>
  <c r="AE26" i="21"/>
  <c r="AE28" i="20"/>
  <c r="AE35" i="16"/>
  <c r="AE19" i="25" l="1"/>
  <c r="AE25" i="22"/>
  <c r="AE17" i="26"/>
  <c r="AE27" i="21"/>
  <c r="AE21" i="24"/>
  <c r="AE35" i="17"/>
  <c r="AE33" i="18"/>
  <c r="AE36" i="16"/>
  <c r="AE31" i="19"/>
  <c r="AE29" i="20"/>
  <c r="AE23" i="23"/>
  <c r="AE20" i="25" l="1"/>
  <c r="AE34" i="18"/>
  <c r="AE32" i="19"/>
  <c r="AE22" i="24"/>
  <c r="AE37" i="16"/>
  <c r="AE36" i="17"/>
  <c r="AE28" i="21"/>
  <c r="AE24" i="23"/>
  <c r="AE18" i="26"/>
  <c r="AE30" i="20"/>
  <c r="AE26" i="22"/>
  <c r="AE21" i="25" l="1"/>
  <c r="AE37" i="17"/>
  <c r="AE29" i="21"/>
  <c r="AE19" i="26"/>
  <c r="AE25" i="23"/>
  <c r="AE38" i="16"/>
  <c r="AE23" i="24"/>
  <c r="AE27" i="22"/>
  <c r="AE33" i="19"/>
  <c r="AE31" i="20"/>
  <c r="AE35" i="18"/>
  <c r="AE28" i="22" l="1"/>
  <c r="AE34" i="19"/>
  <c r="AE39" i="16"/>
  <c r="AE22" i="25"/>
  <c r="AE24" i="24"/>
  <c r="AE26" i="23"/>
  <c r="AE20" i="26"/>
  <c r="AE36" i="18"/>
  <c r="AE30" i="21"/>
  <c r="AE32" i="20"/>
  <c r="AE38" i="17"/>
  <c r="AH5" i="36"/>
  <c r="AG5" i="36" l="1"/>
  <c r="AE29" i="22"/>
  <c r="AE27" i="23"/>
  <c r="AE31" i="21"/>
  <c r="AE37" i="18"/>
  <c r="AE21" i="26"/>
  <c r="AE25" i="24"/>
  <c r="AE23" i="25"/>
  <c r="AE39" i="17"/>
  <c r="AE33" i="20"/>
  <c r="AE35" i="19"/>
  <c r="AH6" i="36"/>
  <c r="AG6" i="36" l="1"/>
  <c r="AI5" i="36"/>
  <c r="AK5" i="36"/>
  <c r="AL5" i="36"/>
  <c r="AE38" i="18"/>
  <c r="AE22" i="26"/>
  <c r="AE28" i="23"/>
  <c r="AE24" i="25"/>
  <c r="AE26" i="24"/>
  <c r="AE32" i="21"/>
  <c r="AE36" i="19"/>
  <c r="AE34" i="20"/>
  <c r="AE30" i="22"/>
  <c r="AL6" i="36" l="1"/>
  <c r="AK6" i="36"/>
  <c r="AI6" i="36"/>
  <c r="AE37" i="19"/>
  <c r="AE29" i="23"/>
  <c r="AE23" i="26"/>
  <c r="AE31" i="22"/>
  <c r="AE39" i="18"/>
  <c r="AE35" i="20"/>
  <c r="AE33" i="21"/>
  <c r="AE27" i="24"/>
  <c r="AE25" i="25"/>
  <c r="AH7" i="36"/>
  <c r="AG7" i="36" l="1"/>
  <c r="AE32" i="22"/>
  <c r="AE24" i="26"/>
  <c r="AE36" i="20"/>
  <c r="AE26" i="25"/>
  <c r="AE30" i="23"/>
  <c r="AE28" i="24"/>
  <c r="AE38" i="19"/>
  <c r="AE34" i="21"/>
  <c r="AE39" i="19" l="1"/>
  <c r="AE29" i="24"/>
  <c r="AE27" i="25"/>
  <c r="AI7" i="36"/>
  <c r="AL7" i="36"/>
  <c r="AK7" i="36"/>
  <c r="AE31" i="23"/>
  <c r="AE37" i="20"/>
  <c r="AE25" i="26"/>
  <c r="AE33" i="22"/>
  <c r="AE35" i="21"/>
  <c r="AH8" i="36"/>
  <c r="AG8" i="36" l="1"/>
  <c r="AE32" i="23"/>
  <c r="AE36" i="21"/>
  <c r="AE34" i="22"/>
  <c r="AE28" i="25"/>
  <c r="AE26" i="26"/>
  <c r="AE30" i="24"/>
  <c r="AE38" i="20"/>
  <c r="AE31" i="24" l="1"/>
  <c r="AL8" i="36"/>
  <c r="AK8" i="36"/>
  <c r="AI8" i="36"/>
  <c r="AE29" i="25"/>
  <c r="AE33" i="23"/>
  <c r="AE39" i="20"/>
  <c r="AE27" i="26"/>
  <c r="AE35" i="22"/>
  <c r="AE37" i="21"/>
  <c r="AH9" i="36"/>
  <c r="AG9" i="36" l="1"/>
  <c r="AE30" i="25"/>
  <c r="AE38" i="21"/>
  <c r="AE34" i="23"/>
  <c r="AE36" i="22"/>
  <c r="AE28" i="26"/>
  <c r="AE32" i="24"/>
  <c r="AL9" i="36" l="1"/>
  <c r="AK9" i="36"/>
  <c r="AI9" i="36"/>
  <c r="AE29" i="26"/>
  <c r="AE33" i="24"/>
  <c r="AE37" i="22"/>
  <c r="AE35" i="23"/>
  <c r="AE39" i="21"/>
  <c r="AE31" i="25"/>
  <c r="AH10" i="36"/>
  <c r="AG10" i="36" l="1"/>
  <c r="AE36" i="23"/>
  <c r="AE38" i="22"/>
  <c r="AE34" i="24"/>
  <c r="AE30" i="26"/>
  <c r="AE32" i="25"/>
  <c r="AK10" i="36" l="1"/>
  <c r="AL10" i="36"/>
  <c r="AI10" i="36"/>
  <c r="AE33" i="25"/>
  <c r="AE31" i="26"/>
  <c r="AE35" i="24"/>
  <c r="AE39" i="22"/>
  <c r="AE37" i="23"/>
  <c r="AH11" i="36"/>
  <c r="AG11" i="36" l="1"/>
  <c r="AE38" i="23"/>
  <c r="AE36" i="24"/>
  <c r="AE32" i="26"/>
  <c r="AE34" i="25"/>
  <c r="AK11" i="36" l="1"/>
  <c r="AI11" i="36"/>
  <c r="AL11" i="36"/>
  <c r="AE35" i="25"/>
  <c r="AE33" i="26"/>
  <c r="AE37" i="24"/>
  <c r="AE39" i="23"/>
  <c r="AH12" i="36"/>
  <c r="AG12" i="36" l="1"/>
  <c r="AE38" i="24"/>
  <c r="AE34" i="26"/>
  <c r="AE36" i="25"/>
  <c r="AK12" i="36" l="1"/>
  <c r="AL12" i="36"/>
  <c r="AI12" i="36"/>
  <c r="AE37" i="25"/>
  <c r="AE35" i="26"/>
  <c r="AE39" i="24"/>
  <c r="AH13" i="36"/>
  <c r="AG13" i="36" l="1"/>
  <c r="AE36" i="26"/>
  <c r="AE38" i="25"/>
  <c r="AK13" i="36" l="1"/>
  <c r="AL13" i="36"/>
  <c r="AI13" i="36"/>
  <c r="AE39" i="25"/>
  <c r="AE37" i="26"/>
  <c r="AH14" i="36"/>
  <c r="AG14" i="36" l="1"/>
  <c r="AE38" i="26"/>
  <c r="AL14" i="36" l="1"/>
  <c r="AI14" i="36"/>
  <c r="AK14" i="36"/>
  <c r="AE39" i="26"/>
  <c r="AH15" i="36"/>
  <c r="AG15" i="36" l="1"/>
  <c r="AH16" i="36"/>
  <c r="AI15" i="36" l="1"/>
  <c r="AL15" i="36"/>
  <c r="AK15" i="36"/>
  <c r="AG16" i="36"/>
  <c r="AK16" i="36" l="1"/>
  <c r="AL16" i="36"/>
</calcChain>
</file>

<file path=xl/sharedStrings.xml><?xml version="1.0" encoding="utf-8"?>
<sst xmlns="http://schemas.openxmlformats.org/spreadsheetml/2006/main" count="1581" uniqueCount="373">
  <si>
    <t>1. EINLEITUNG</t>
  </si>
  <si>
    <t>2. MASKE "Grunddaten"</t>
  </si>
  <si>
    <t>Die Erfassungsmaske "Grunddaten" dient der Aufnahme der Stammdaten des Mitarbeitenden, des Eintrittsdatums, der Erfassung von bestehenden Zeitguthaben bzw. Zeitdefiziten und (Rest-)Urlaubsansprüchen. Außerdem werden hier die aktuelle Kalenderperiode, sogenannte Sonder-Tagesarten sowie gesetzliche und sonstige fixe dienstfreie Tage eingetragen.</t>
  </si>
  <si>
    <t>Erfassung der Stammdaten:</t>
  </si>
  <si>
    <t>Erfassung von arbeitsvertraglichen Fixdaten:</t>
  </si>
  <si>
    <t>Bitte erfassen Sie hier das Eintrittsdatum in die Organisation. Dieses Feld ist insbesondere für neue Mitarbeitende wichtig, da hierüber die korrekte Darstellung der SOLL-Arbeitszeiten gesteuert wird. Mitarbeitende, die bereits vor der aktuellen Kalenderperiode im Dienst standen, können alternativ zum Eintrittsdatum hier auch den 01.01. der aktuellen Kalenderperiode erfassen.</t>
  </si>
  <si>
    <t>Übertrag eines bestehenden Zeitguthabens/-defizits</t>
  </si>
  <si>
    <t xml:space="preserve">Bitte erfassen Sie hier die zum Jahresende der Vorjahresperiode bestehenden Zeitguthaben bzw. Zeitdefizite in dezimaler Schreibweise. Zeitdefizite sind mit einem Minus-Vorzeichen zu erfassen. 
Beispiel: Zeitguthaben 15:30 h ==&gt; Erfassung   15,5
Beispiel: Zeitdefizit        15:30 h ==&gt; Erfassung  -15,5
</t>
  </si>
  <si>
    <t>Der erfasste Wert wird in die Erfassungsmaske "Januar" übernommen und fortgeschrieben.</t>
  </si>
  <si>
    <t>Erfassung des Urlaubsanspruchs (inklusive Resturlaub aus Vorjahr)</t>
  </si>
  <si>
    <t>Bitte erfassen Sie hier den zum Jahresende der Vorjahresperiode bestehenden Resturlaubsanspruch sowie den Urlaubsanspruch der aktuellen Kalenderperiode.</t>
  </si>
  <si>
    <t>Der erfasste Wert wird in den Erfassungsmasken "Januar" bis "Dezember" übernommen und fortgeschrieben.</t>
  </si>
  <si>
    <t>Erfassung der aktuellen Kalenderperiode</t>
  </si>
  <si>
    <t>Bitte erfassen Sie hier die aktuelle Kalenderperiode mit Hilfe der vorgesehenen Schaltfläche.</t>
  </si>
  <si>
    <t>Definition von Sonder-Tagesarten</t>
  </si>
  <si>
    <t>gesetzliche Feiertage und sonstige fixe dienstfreie Tage</t>
  </si>
  <si>
    <t>3. MASKE "Arbeitszeitmodell"</t>
  </si>
  <si>
    <t>Im Anschluss errechnet Ihnen das System eine Information über die entsprechende Voll- bzw. Teilzeitquote.</t>
  </si>
  <si>
    <t>(siehe Erläuterung unter 3. Maskentyp "Arbeitszeitmodell")</t>
  </si>
  <si>
    <t>5. Maskentyp "Monat" (beispielhaft Januar)</t>
  </si>
  <si>
    <t>Der Maskentyp "Monat" bildet das eigentliche Herzstück der Anwendung "Arbeitszeit Caritas". Hier erfassen Sie Ihre täglichen arbeitszeitrelevanten Sachverhalte. Die Erfassungsmaske gliedert sich im wesentlichen in vier Teilabschnitte.</t>
  </si>
  <si>
    <t>Der erste Teilabschnitt enthält die Stammdateninformationen des Mitarbeitenden gemäß der Einträge aus der Erfassungsmaske "Grunddaten".</t>
  </si>
  <si>
    <t>Des Weiteren kann über die Spalte Bemerkung eine fix hinterlegte Sonder-Tagesart erfasst werden, durch welche fix vorbelegte SOLL- bzw. IST-Arbeitszeiten automatisiert hinterlegt werden.</t>
  </si>
  <si>
    <t>In der Spalte "davon Reisezeit" erfassen Sie bitte bei Auswahl der Tagesart "Dienstreise" bzw. "ganztägige Fortbildung", die in den Abschnitten 1 bis 3 enthalten Reisezeit. Die Anwendung errechnet Ihnen automatisiert bei  Überschreitung der 10 Std.-Grenze bei Arbeitszeit und Reisezeit den auf 10 Std. gedeckelten Tageswert.</t>
  </si>
  <si>
    <t>Der dritte Teilabschnitt errechnet aus Ihren Eingaben die entsprechenden Zeitguthaben bzw. Zeitdefizite, welche in den jeweiligen Folgemonat übernommen werden. Zusätzlich werden hier der Urlaubsanspruch zum Anfang des Kalenderjahres, sowie der bereits verbrauchte Urlaub ermittelt und ausgewiesen. Ferner erhalten Sie einen Überblick über die  Krankheitstage des Monats und als zusätzliche Information in kumulierter Form für das gesamte Kalenderjahr. Selbiges gilt für die dienstfreien Sonder-Tagesarten "Namenstag" und "Arbeitsbefreiung". Zusätzlich erhalten Sie Informationen zum persönlichen Arbeitszeitmodell des laufenden Monats sowie die Aufteilung auf die jeweiligen Dienststellen. Ferner finden Sie hier einen Unterschriftenbereich für Sie als Erfasser und Ihre zuständige Führungskraft vor. Hier bestätigen Sie Ihrer Führungskraft gegenüber die Korrektheit der Angaben, die diese nach Prüfung entsprechend genehmigt.</t>
  </si>
  <si>
    <t>GRUNDDATEN</t>
  </si>
  <si>
    <t>Stammdaten</t>
  </si>
  <si>
    <t>Jahr</t>
  </si>
  <si>
    <t>Name:</t>
  </si>
  <si>
    <t>Vorname:</t>
  </si>
  <si>
    <t>Personalnummer:</t>
  </si>
  <si>
    <t>Adresse (Haupt-)Dienststelle:</t>
  </si>
  <si>
    <t>Krank</t>
  </si>
  <si>
    <t>(Haupt-)Dienststelle 1:</t>
  </si>
  <si>
    <t>Urlaub</t>
  </si>
  <si>
    <t>Dienststelle 2:</t>
  </si>
  <si>
    <t>Dienstreise</t>
  </si>
  <si>
    <t>Dienststelle 3:</t>
  </si>
  <si>
    <t>Exerzitien/Einkehrtag</t>
  </si>
  <si>
    <t>Wallfahrt</t>
  </si>
  <si>
    <t>Berufsgruppe:</t>
  </si>
  <si>
    <t>Arbeitsbefreiung</t>
  </si>
  <si>
    <r>
      <t>Geburtsdatum</t>
    </r>
    <r>
      <rPr>
        <sz val="8"/>
        <color theme="1"/>
        <rFont val="Calibri Light"/>
        <family val="2"/>
      </rPr>
      <t xml:space="preserve"> (nur bei Minderjährigkeit):</t>
    </r>
  </si>
  <si>
    <t>Namenstag</t>
  </si>
  <si>
    <t>Betriebsausflug</t>
  </si>
  <si>
    <t>keine Vergütung</t>
  </si>
  <si>
    <t>(z.B. unbezahlter Urlaub)</t>
  </si>
  <si>
    <t>Erfassung  von arbeitsvertraglichen Fixdaten</t>
  </si>
  <si>
    <t>Azubi - Berufsschule</t>
  </si>
  <si>
    <t>Ausbildung</t>
  </si>
  <si>
    <t>Azubi - Schriftliche AP</t>
  </si>
  <si>
    <t>Eintritt</t>
  </si>
  <si>
    <t>Azubi - Mündliche AP</t>
  </si>
  <si>
    <t>Azubi - Zwischenprüfung</t>
  </si>
  <si>
    <t>Azubi - Prüfungsvorbereitung</t>
  </si>
  <si>
    <t>Dienst (Feiertag)</t>
  </si>
  <si>
    <t>Ausgabe SOLL-AZ für Feiertag</t>
  </si>
  <si>
    <t>Zeitguthaben/-defizit aus dem Vorjahr</t>
  </si>
  <si>
    <t>Heilig Abend</t>
  </si>
  <si>
    <t>1. Weihnachtsfeiertag</t>
  </si>
  <si>
    <t>2. Weihnachtsfeiertag</t>
  </si>
  <si>
    <t>Silvester</t>
  </si>
  <si>
    <t>Neujahrstag</t>
  </si>
  <si>
    <t>Hl. Drei König</t>
  </si>
  <si>
    <t>Maifeiertag</t>
  </si>
  <si>
    <t>Tag der deutschen Einheit</t>
  </si>
  <si>
    <t>Allerheiligen</t>
  </si>
  <si>
    <t>Karfreitag</t>
  </si>
  <si>
    <t>Ostersonntag</t>
  </si>
  <si>
    <t>Ostermontag</t>
  </si>
  <si>
    <t>Christi Himmelfahrt</t>
  </si>
  <si>
    <t>Pfingstsonntag</t>
  </si>
  <si>
    <t>Pfingstmontag</t>
  </si>
  <si>
    <t>Fronleichnam</t>
  </si>
  <si>
    <t>Mariä Himmelfahrt</t>
  </si>
  <si>
    <t>Besonderheit im aktuellen Kalenderjahr</t>
  </si>
  <si>
    <t>ARBEITSZEITMODELL</t>
  </si>
  <si>
    <t>Erfassung Arbeitszeitmodell</t>
  </si>
  <si>
    <t>Januar</t>
  </si>
  <si>
    <t>Februar</t>
  </si>
  <si>
    <t>März</t>
  </si>
  <si>
    <t>April</t>
  </si>
  <si>
    <t>Mai</t>
  </si>
  <si>
    <t>Juni</t>
  </si>
  <si>
    <t>Juli</t>
  </si>
  <si>
    <t>August</t>
  </si>
  <si>
    <t>September</t>
  </si>
  <si>
    <t>Oktober</t>
  </si>
  <si>
    <t>November</t>
  </si>
  <si>
    <t>Dezember</t>
  </si>
  <si>
    <t>Durchschnitt</t>
  </si>
  <si>
    <t>Arbeitszeit gemäß Arbeitsvertrag:</t>
  </si>
  <si>
    <t>Wochenarbeitstage</t>
  </si>
  <si>
    <t>durchschnittliche tägliche Arbeitszeit</t>
  </si>
  <si>
    <t>Wochenarbeitszeit (gesamt)</t>
  </si>
  <si>
    <t>Montag</t>
  </si>
  <si>
    <t>Dienstag</t>
  </si>
  <si>
    <t>Mittwoch</t>
  </si>
  <si>
    <t>Donnerstag</t>
  </si>
  <si>
    <t>Freitag</t>
  </si>
  <si>
    <t>Samstag</t>
  </si>
  <si>
    <t>Sonntag</t>
  </si>
  <si>
    <t>Vollzeit-/Teilzeitquote</t>
  </si>
  <si>
    <t>HILFSTOOL UMRECHNUNG ARBEITSZEITEN</t>
  </si>
  <si>
    <t>= Eingabefeld</t>
  </si>
  <si>
    <t>= Ergebnis</t>
  </si>
  <si>
    <t>1) Umrechnung von dezimal in hh:mm</t>
  </si>
  <si>
    <t>dezimal</t>
  </si>
  <si>
    <t>hh:mm</t>
  </si>
  <si>
    <t>2) Umrechnung von hh:mm in dezimal</t>
  </si>
  <si>
    <t>Arbeitszeitmodell</t>
  </si>
  <si>
    <t>Krankheit</t>
  </si>
  <si>
    <t>Arbeits-befreiung</t>
  </si>
  <si>
    <t>Plus-Minusstunden</t>
  </si>
  <si>
    <t>Aufteilung der EFL-Leistungen</t>
  </si>
  <si>
    <t>Monat</t>
  </si>
  <si>
    <t>Nummer</t>
  </si>
  <si>
    <t>Wochenstunden</t>
  </si>
  <si>
    <t>Definierte Arbeitstage</t>
  </si>
  <si>
    <t>Wochentage</t>
  </si>
  <si>
    <t>Arbeitstage/Monat</t>
  </si>
  <si>
    <t>Soll-Arbeitstunden/Monat</t>
  </si>
  <si>
    <t>Stunden</t>
  </si>
  <si>
    <t>Tage</t>
  </si>
  <si>
    <t>Stunden-Soll (bereinigt)</t>
  </si>
  <si>
    <t>Stunden-Ist (bereinigt)</t>
  </si>
  <si>
    <t>im Monat</t>
  </si>
  <si>
    <t>aus Vormonat</t>
  </si>
  <si>
    <t>Abschluss</t>
  </si>
  <si>
    <t xml:space="preserve"> EFL-Stunden</t>
  </si>
  <si>
    <t>EFL: Adebis</t>
  </si>
  <si>
    <t>EFL: Sonstige Dienste</t>
  </si>
  <si>
    <t>andere Dienststellen</t>
  </si>
  <si>
    <t>Check IST</t>
  </si>
  <si>
    <t>Verbleibende Urlaubstage</t>
  </si>
  <si>
    <t>Anteil EFL-Dienst in %</t>
  </si>
  <si>
    <t>Anteil Sonstige Dienste in %</t>
  </si>
  <si>
    <t>GESAMT</t>
  </si>
  <si>
    <t>ARBEITSZEITNACHWEIS</t>
  </si>
  <si>
    <t>Dienststelle(n):</t>
  </si>
  <si>
    <t>Monat:</t>
  </si>
  <si>
    <t>JANUAR</t>
  </si>
  <si>
    <t>KW</t>
  </si>
  <si>
    <t>AZ IST</t>
  </si>
  <si>
    <t>AZ SOLL</t>
  </si>
  <si>
    <t>Tagesarten</t>
  </si>
  <si>
    <t>EFL</t>
  </si>
  <si>
    <t>Sonstiges</t>
  </si>
  <si>
    <t xml:space="preserve">Zusatzinformationen
</t>
  </si>
  <si>
    <t>Pausen</t>
  </si>
  <si>
    <t>DS</t>
  </si>
  <si>
    <t>von</t>
  </si>
  <si>
    <t>bis</t>
  </si>
  <si>
    <t>Unter-brechung</t>
  </si>
  <si>
    <t>Summe</t>
  </si>
  <si>
    <t>Std:Min</t>
  </si>
  <si>
    <t xml:space="preserve">Faktor
indiv.%
</t>
  </si>
  <si>
    <t>faktorisiert</t>
  </si>
  <si>
    <t>Höchst-AZ
(Dauer)</t>
  </si>
  <si>
    <t>Ist
(Dauer)</t>
  </si>
  <si>
    <t>§4ArbZG
(Dauer)</t>
  </si>
  <si>
    <t>Zeitguthaben/-defizit</t>
  </si>
  <si>
    <t>Information:</t>
  </si>
  <si>
    <t>Arbeitswoche:</t>
  </si>
  <si>
    <t>Wochenarbeitszeit:</t>
  </si>
  <si>
    <t>Korrektur (+/-)</t>
  </si>
  <si>
    <t>Urlaubsberechnung</t>
  </si>
  <si>
    <t>Statistik</t>
  </si>
  <si>
    <t>Tagesart</t>
  </si>
  <si>
    <t>bis zum Monatsanfang verbrauchter Urlaub</t>
  </si>
  <si>
    <t>Urlaubstage aktueller Monat</t>
  </si>
  <si>
    <t>Resturlaub</t>
  </si>
  <si>
    <t>Dienststelle</t>
  </si>
  <si>
    <t>Ort, Datum</t>
  </si>
  <si>
    <t>FEBRUAR</t>
  </si>
  <si>
    <t>MÄRZ</t>
  </si>
  <si>
    <t>APRIL</t>
  </si>
  <si>
    <t>MAI</t>
  </si>
  <si>
    <t>JUNI</t>
  </si>
  <si>
    <t>JULI</t>
  </si>
  <si>
    <t>AUGUST</t>
  </si>
  <si>
    <t>SEPTEMBER</t>
  </si>
  <si>
    <t>OKTOBER</t>
  </si>
  <si>
    <t>NOVEMBER</t>
  </si>
  <si>
    <t>DEZEMBER</t>
  </si>
  <si>
    <t>Bemerkung</t>
  </si>
  <si>
    <t>Erfassung wichtiger Urlaubs- und Fehlzeiten</t>
  </si>
  <si>
    <t>1 Arbeitstag</t>
  </si>
  <si>
    <t>Anspruch</t>
  </si>
  <si>
    <t>2 Arbeitstage</t>
  </si>
  <si>
    <t>Tod eines Elternteils</t>
  </si>
  <si>
    <t>dienstlich/betrieblich veranlasster Umzug an einen anderen Ort</t>
  </si>
  <si>
    <t>Umzug dienstlich</t>
  </si>
  <si>
    <t>25-jähriges Arbeitsjubiläum</t>
  </si>
  <si>
    <t>Dienstjubiläum</t>
  </si>
  <si>
    <t>40-jähriges Arbeitsjubiläum</t>
  </si>
  <si>
    <t>50-jähriges Arbeitsjubiläum</t>
  </si>
  <si>
    <t>Angehöriger erkrankt</t>
  </si>
  <si>
    <t>bis zu 4 Arbeitstage jährlich</t>
  </si>
  <si>
    <t>Kind erkrankt</t>
  </si>
  <si>
    <t>Betreuungsperson erkrankt</t>
  </si>
  <si>
    <t>ärztliche Behandlung</t>
  </si>
  <si>
    <t>Ärztliche Behandlung</t>
  </si>
  <si>
    <r>
      <t xml:space="preserve">erforderliche </t>
    </r>
    <r>
      <rPr>
        <b/>
        <u/>
        <sz val="11"/>
        <rFont val="Calibri"/>
        <family val="2"/>
        <scheme val="minor"/>
      </rPr>
      <t>nachgewiesene</t>
    </r>
    <r>
      <rPr>
        <sz val="11"/>
        <rFont val="Calibri"/>
        <family val="2"/>
        <scheme val="minor"/>
      </rPr>
      <t xml:space="preserve"> Abwesenheitszeit einschließlich erforderlicher Wegezeit</t>
    </r>
  </si>
  <si>
    <t>Patenamt</t>
  </si>
  <si>
    <t>Taufe Kind</t>
  </si>
  <si>
    <t>Erstkommunion Kind</t>
  </si>
  <si>
    <t>Taufe eines Kindes</t>
  </si>
  <si>
    <t>Erstkommunion eines Kindes</t>
  </si>
  <si>
    <t>kirchliche Eheschließung eines Kindes</t>
  </si>
  <si>
    <t>insgesamt maximal
5 Arbeitstage 
jährlich</t>
  </si>
  <si>
    <t>insgesamt maximal
1 Arbeitstag 
jährlich</t>
  </si>
  <si>
    <t>Geburt</t>
  </si>
  <si>
    <t>Todesfall</t>
  </si>
  <si>
    <t>Umzug</t>
  </si>
  <si>
    <t>Jubiläum</t>
  </si>
  <si>
    <t>schwere Erkrankung</t>
  </si>
  <si>
    <r>
      <t xml:space="preserve">einer Betreuungsperson, wenn der Beschäftigte deshalb die Betreuung seines Kindes übernehmen muss; </t>
    </r>
    <r>
      <rPr>
        <sz val="8"/>
        <rFont val="Calibri"/>
        <family val="2"/>
        <scheme val="minor"/>
      </rPr>
      <t>das Kind hat dabei das</t>
    </r>
    <r>
      <rPr>
        <b/>
        <sz val="8"/>
        <rFont val="Calibri"/>
        <family val="2"/>
        <scheme val="minor"/>
      </rPr>
      <t xml:space="preserve"> 8. Lebensjahr noch nicht vollendet</t>
    </r>
    <r>
      <rPr>
        <sz val="8"/>
        <rFont val="Calibri"/>
        <family val="2"/>
        <scheme val="minor"/>
      </rPr>
      <t xml:space="preserve"> oder ist wegen</t>
    </r>
    <r>
      <rPr>
        <b/>
        <sz val="8"/>
        <rFont val="Calibri"/>
        <family val="2"/>
        <scheme val="minor"/>
      </rPr>
      <t xml:space="preserve"> körperlicher, geistiger oder seelischer Behinderung dauernd pflegebedürftig</t>
    </r>
  </si>
  <si>
    <t>kirchliche Eheschließung</t>
  </si>
  <si>
    <t>Übernahme eines kirchlichen Patenamtes 
sowie Taufe, Erstkommunion, Firmung/Konfirmation, kirchliche Eheschließung eines eigenen Kindes</t>
  </si>
  <si>
    <t>kirchliches Begräbnis naher Angehöriger</t>
  </si>
  <si>
    <t>Arbeitsbefreiung gemäß § 29 (1) ABD</t>
  </si>
  <si>
    <t>Sachverhalt</t>
  </si>
  <si>
    <t>Beschreibung Sachverhalt</t>
  </si>
  <si>
    <t>Wallfahrten</t>
  </si>
  <si>
    <t>Exerzitien, Einkehrtage</t>
  </si>
  <si>
    <t>Konfirmation eines Kindes</t>
  </si>
  <si>
    <t>Firmung eines Kindes</t>
  </si>
  <si>
    <t>Firmung Kind</t>
  </si>
  <si>
    <t>Konfirmation Kind</t>
  </si>
  <si>
    <t>Mutterschutz</t>
  </si>
  <si>
    <t>Gemäß § 3 beginnt die Mutterschutzfrist 6 Wochen vor dem errechneten Entbindungstermins (Schutzfrist vor Entbindung) und endet im Normalfall mit Ablauf von 8 Wochen nach dem Entbindungstermin (Schutzfrist nach Entbindung). Die Schutzfrist nach der Entbindung verlängert sich auf zwölf Wochen bei Frühgeburten, Mehrlingsgeburten bzw. wenn vor Ablauf von 8 Wochen nach der Entbindung beim Kind eine Behinderung festgestellt wird. Desweiteren verlängert sich die Schutzfrist nach Entbindung bei einer vorzeitigen Entbindung um den Zeitraum der Verkürzung der Schutzfrist vor der Entbindung.</t>
  </si>
  <si>
    <t>Gemäß § 16 Mutterschutzgesetzt darf eine schwangere Frau nicht beschäftigt werden, soweit nach einem ärztlichen Zeugnis ihre Gesundheit oder die ihres Kindes bei Fortdauer der Beschäftigung gefährdet ist.</t>
  </si>
  <si>
    <t>Beschäftigungsverbot während Schwangerschaft</t>
  </si>
  <si>
    <t>Schutzfristen:
- vor Entbindung  6 Wochen
- nach Entbindung 8 Wochen (Regelfall)</t>
  </si>
  <si>
    <t>gemäß ärztlicher Bescheinigung</t>
  </si>
  <si>
    <t>Mutterschutz-
gesetz</t>
  </si>
  <si>
    <t>kein Eintrag</t>
  </si>
  <si>
    <t>Elternzeit</t>
  </si>
  <si>
    <t>ohne Beschäftigung</t>
  </si>
  <si>
    <t>erlaubte Teilzeitbeschäftigung</t>
  </si>
  <si>
    <t>Erfassung der Arbeits- und Fehlzeiten wie gewohnt, gemäß vereinbarter Teilzeitbeschäftigung.</t>
  </si>
  <si>
    <t>gemäß Antragstellung</t>
  </si>
  <si>
    <t>ohne Vergütung</t>
  </si>
  <si>
    <t xml:space="preserve"> Elternzeit</t>
  </si>
  <si>
    <t>Zusatzurlaub</t>
  </si>
  <si>
    <t>Sonderurlaub</t>
  </si>
  <si>
    <t>Erholungsurlaub</t>
  </si>
  <si>
    <t>Anspruch auf Zusatzurlaub gemäß §27 ABD (z.B. Wechselschicht-/Schichtarbeit)</t>
  </si>
  <si>
    <t>gem. § 27 ABD</t>
  </si>
  <si>
    <t>gem. § 26 ABD</t>
  </si>
  <si>
    <t>Anspruch auf bezahlten Zusatzurlaub für schwerbinderte Menschen gemäß §208 SGB IX.</t>
  </si>
  <si>
    <t>gem. §208 SGB IX</t>
  </si>
  <si>
    <t>gem. § 28 ABD</t>
  </si>
  <si>
    <t>Gewährung von Sonderurlaub bei Verzicht auf Entgeltfortzahlung bei Vorliegen eines wichtigen Grundes gemäß §28 ABD</t>
  </si>
  <si>
    <t>Anspruch auf bezahlten Erholungsurlaub gemäß § 26 ABD</t>
  </si>
  <si>
    <t>Beschäftigungsverbot Schwangerschaft</t>
  </si>
  <si>
    <t>Bemerkungen</t>
  </si>
  <si>
    <t>Aufbau von Minusstunden</t>
  </si>
  <si>
    <t>Ausgleich von Überstunden / Mehrarbeit</t>
  </si>
  <si>
    <t>Niederkunft Ehefrau</t>
  </si>
  <si>
    <t>Tod Ehepartner</t>
  </si>
  <si>
    <t>Tod eigenes Kind</t>
  </si>
  <si>
    <t>Tod Elternteil</t>
  </si>
  <si>
    <t>kirchliche Eheschließung Kind</t>
  </si>
  <si>
    <t>kirchliches Begräbnis Ehegatte</t>
  </si>
  <si>
    <t>kirchliches Begräbnis Kind</t>
  </si>
  <si>
    <t>kirchliches Begräbnis Elternteil</t>
  </si>
  <si>
    <t>kirchliches Begräbnis Geschwisterteil</t>
  </si>
  <si>
    <t>kirchliches Begräbnis Großelternteil</t>
  </si>
  <si>
    <t>kirchliches Begräbnis Schwiegerelternteil</t>
  </si>
  <si>
    <t>Std:Min
(DS 1)</t>
  </si>
  <si>
    <t>Std:Min
(DS 2)</t>
  </si>
  <si>
    <t>Std:Min
(Gesamt)</t>
  </si>
  <si>
    <t>DS 1</t>
  </si>
  <si>
    <t>DS 2</t>
  </si>
  <si>
    <t>DS 3</t>
  </si>
  <si>
    <t>Fortbildung</t>
  </si>
  <si>
    <t>Exerzitien</t>
  </si>
  <si>
    <t>Wochenarbeitszeit (Dienststelle 2)</t>
  </si>
  <si>
    <t>Wochenarbeitszeit (Dienststelle 1)</t>
  </si>
  <si>
    <t>durchschnittliche tägliche Arbeitszeit (bezogen auf 5-Tage-Woche)</t>
  </si>
  <si>
    <t>Sonderbereich EFLB</t>
  </si>
  <si>
    <t>Wochenarbeitszeit (Dienststelle 3)</t>
  </si>
  <si>
    <t>KONTROLLE (Zeile 11 = Zeile 22 + Zeile 32 + Zeile 42)</t>
  </si>
  <si>
    <t>Std:Min
(DS 3)</t>
  </si>
  <si>
    <r>
      <t>Arbeitszeitaufteilung auf Wochentage (Std:Min)</t>
    </r>
    <r>
      <rPr>
        <sz val="11"/>
        <color theme="1"/>
        <rFont val="Calibri Light"/>
        <family val="2"/>
      </rPr>
      <t>:</t>
    </r>
  </si>
  <si>
    <t>Bitte erfassen Sie hier Ihre Stammdaten, sowie die jeweilige Dienststelle. Mitarbeitende mit mehreren zugewiesenen Dienststellen haben hier die Möglichkeit bis zu 3 Dienststellen zu hinterlegen. Mitarbeitende, die zu Beginn der aktuellen Kalenderperiode das 18. Lebensjahr noch nicht vollendet haben, erfassen bitte im Feld "Geburtsdatum (nur bei Minderjährigkeit)" ihr Geburtsdatum. Hierüber werden einige Prüfroutinen (Pause, maximal zulässige Tageshöchstarbeitszeit) für die Einhaltung von Bestimmungen zum Jugendarbeitsschutzgesetz (JArbSchG) abgeprüft. Für alle anderen Mitarbeitenden ist die Erfassung des Geburtsdatums nicht erforderlich. Im Feld "Berufsgruppe" erfassen Sie bitte die für Sie zutreffende Berufsgruppe. Für Mitarbeitende in der Verwaltung ist die Berufsgruppe "Sonstige/r Arbeitnehmer/in" zu hinterlegen. Standardmäßig ist diese Option zunächst vorbelegt.</t>
  </si>
  <si>
    <t>Die Erfassungsmaske "Arbeitszeitmodell" dient der Aufnahme des zwischen Dienstgeber und Mitarbeitenden vereinbarten Arbeitszeitmodells. Da Arbeitszeitmodelle im Laufe der Kalenderperiode Änderungen unterliegen können, wurde für jeden Monat des Kalenderjahres ein eigenes anpassbares Modell hinterlegt. Einschränkend gilt es festzuhalten, dass das Modell hier lediglich zum 01. eines Kalendermonats angepasst werden kann. Im Falle einer Änderung während eines Kalendermonats stimmen Sie dies bitte direkt mit der Abteilung Personalverwaltung ab.</t>
  </si>
  <si>
    <t>Das zweite Segment nimmt die mit Ihrem Dienstgeber vereinbarte Tages-SOLL-Arbeitszeit je Wochentag auf. Hierzu stehen Ihnen die Wochentage Montag bis Sonntag für die Erfassung zur Verfügung. Sollten sich speziell im Bereich von  Teilzeitbeschäftigung Fragen ergeben, wenden Sie sich an Ihre Führungskraft und ggf. in weiterer Folge an die Abteilung Personalverwaltung. Im Anschluss an die Wochentage werden die jeweiligen Tages-SOLL-Arbeitszeiten nochmals addiert. Hierüber können Sie nochmals die Gesamt-SOLL-Wochenarbeitszeit mit dem Ergebnis aus Segment 1 vergleichen. Es können für insgesamt bis zu 3 Dienststellen Arbeitszeitmodelle hinterlegt werden.</t>
  </si>
  <si>
    <t>Im ersten Segment hinterlegen Sie die mit dem Dienstgeber vereinbarten SOLL-Arbeitstage je Woche. Weiterhin erfassen Sie die durchschnittliche tägliche Arbeitszeit pro Woche. Hieraus errechnet die Anwendung die GESAMT-SOLL-Wochenarbeitszeit.</t>
  </si>
  <si>
    <t>4. MASKEN "Januar" bis "Dezember"</t>
  </si>
  <si>
    <t>(in Stunden dezimal)</t>
  </si>
  <si>
    <t>5. MASKE "Umrechnungstool"</t>
  </si>
  <si>
    <t>Wichtiger Hinweis an alle MitarbeiterInnen, die eine AZ-Erfassung auf mehrere Dienststellen vornehmen:</t>
  </si>
  <si>
    <t>Saldo
aktuell</t>
  </si>
  <si>
    <t>Zusätzlich erhalten Sie nun auch über die Spalte Saldo dezimal einen Überblick über das tagesaktuelle Zeitguthaben bzw. -defizit und darüberhinaus besteht die Möglichkeit durch Einträge in der Zukunft bestimmte Szenarien zu simulieren.</t>
  </si>
  <si>
    <t>Musterstraße 1</t>
  </si>
  <si>
    <t>94032 Musterstadt</t>
  </si>
  <si>
    <t>Korrektur</t>
  </si>
  <si>
    <t>Wochentagemodell (5-Tages-Woche (Standard); 6 Tages-Woche)</t>
  </si>
  <si>
    <t>Für die Tagesarten "Krank", "Urlaub", "Arbeitsbefreiung", "Exerzitien" und "Wallfahrt" wird in Abschnitt 1 die SOLL-Arbeitszeit für die Dienststelle 1, in Abschnitt 2 die SOLL-Arbeitszeit für die Dienststelle 2 sowie in Abschnitt 3 die SOLL-Arbeitszeit für die Dienststelle 3 automatisch bei Auswahl der Tagesart übernommen. Dies gilt auch für die Sondertagesarten "Azubi - ...". Für die Tagesarten "Betriebsausflug" wurde zwischenzeitlich die Berechnungslogik erweitert, sodass auch für diese Tagesart eine automatisierte Verteilung auf die betroffenen Dienststellen erfolgt. Hierbei wird entweder die konkrete SOLL-Arbeitszeit je Dienststelle aus dem Arbeitsmodell ermittelt oder der gemäß der Betriebsausflugregelung ermittelte Mindestansatz errechnet und prozentual auf die Dienststellen verteilt. Auch die Tagesart "Namenstag" wird nunmehr automatisiert errechnet und im Abschnitt 2 mit dem ermittelten Wert hinterlegt. Sie erfassen in diesem Zusammenhang bitte noch die Arbeitszeit die Sie zusätzlich an diesem Tag erbringen mit der betreffenden Dienststelle und vergeben im Abschnitt 2 ebenfalls die relevante Diensstellennummer. Bitte vergessen Sie bei den gänztägigen Tagesarten "Dienstreise" und "Fortbildung" nicht die Reisezeiten anzugeben und vergeben Sie auch hier in der betreffenden Spalte die hierfür relevante Dienststellennummer.</t>
  </si>
  <si>
    <t>Musterperson</t>
  </si>
  <si>
    <t>Muster</t>
  </si>
  <si>
    <t>Übertrag</t>
  </si>
  <si>
    <r>
      <t xml:space="preserve">AZ
</t>
    </r>
    <r>
      <rPr>
        <b/>
        <sz val="8"/>
        <color theme="0"/>
        <rFont val="Arial"/>
        <family val="2"/>
      </rPr>
      <t>IST</t>
    </r>
  </si>
  <si>
    <r>
      <t xml:space="preserve">AZ
</t>
    </r>
    <r>
      <rPr>
        <b/>
        <sz val="8"/>
        <color theme="0"/>
        <rFont val="Arial"/>
        <family val="2"/>
      </rPr>
      <t>SOLL</t>
    </r>
  </si>
  <si>
    <r>
      <t xml:space="preserve">Saldo
</t>
    </r>
    <r>
      <rPr>
        <b/>
        <sz val="8"/>
        <color theme="0"/>
        <rFont val="Arial"/>
        <family val="2"/>
      </rPr>
      <t>Gesamt</t>
    </r>
  </si>
  <si>
    <t>Abschnitt 1 (z.B. vormittags)</t>
  </si>
  <si>
    <t>Abschnitt 2 (z.B. nachmittags)</t>
  </si>
  <si>
    <t>Abschnitt 3 (z.B. abends)</t>
  </si>
  <si>
    <t>davon Reisezeit</t>
  </si>
  <si>
    <t>Willkommen bei der Microsoft Excel-Anwendung "Arbeitszeit Bistum Regensburg
Die Microsoft Excel-Anwendung "Arbeitszeit Bistum Regensburg" dient der Erfassung Ihrer täglichen arbeitszeitrelevanten Sachverhalte. 
Die Anwendung gliedert sich dabei in vier unterschiedliche Erfassungsmaskentypen:
1. Erfassungsmaske "Grunddaten"
2. Erfassungsmaske "Arbeitszeitmodell"
3. Erfassungsmaske "Monat" von Januar bis Dezember
4. Erfassungsmaske "Umrechnungstool"
Diese werden in weiterer Folge näher beschrieben.
Außerdem wurde eine Rubrik "Häufige Fragen" aufgenommen, in der die wichtigsten Fallstellungen abgehandelt werden.</t>
  </si>
  <si>
    <t>Dieser Bereich wird nur durch die zuständige Fachbetreuung der Anwendung "Arbeitszeit Bistum Regensburg" gepflegt.</t>
  </si>
  <si>
    <t>Dieser Bereich wird nur durch die zuständige Fachbetreuung der Anwendung "Arbeitszeit Bistum Regensburg" gepflegt. Zusätzlich können Mitarbeitende mit Dienstpflicht an Feiertagen hier für den entsprechenden Feiertag die mit dem Dienstgeber vereinbarte SOLL-Arbeitszeit erfassen.</t>
  </si>
  <si>
    <t>Mobiles Arbeiten</t>
  </si>
  <si>
    <t>Tag</t>
  </si>
  <si>
    <t>Freizeitausgleich</t>
  </si>
  <si>
    <r>
      <t xml:space="preserve">Saldo </t>
    </r>
    <r>
      <rPr>
        <b/>
        <sz val="8"/>
        <color theme="0"/>
        <rFont val="Arial"/>
        <family val="2"/>
      </rPr>
      <t>lfd.Monat</t>
    </r>
  </si>
  <si>
    <t>Bereitschaft</t>
  </si>
  <si>
    <t>Für die Richtigkeit</t>
  </si>
  <si>
    <t>Geprüft und Genehmigt:</t>
  </si>
  <si>
    <t>Unterschrift Mitarbeiter/in</t>
  </si>
  <si>
    <t>Unterschrift direkte/r Vorgesetzte/r</t>
  </si>
  <si>
    <t>BEDIENHINWEISE ZUR ANWENDUNG                                                         "Arbeitszeit Bistum Regensburg"</t>
  </si>
  <si>
    <r>
      <t xml:space="preserve">Der zweite Teilabschnitt nimmt die Zeiterfassungen, Auswahl von Sonder-Tagesarten oder Bemerkungen auf. Es stehen Ihnen drei Tagesabschnitte für die Erfassung zur Verfügung. Für jeden Tagesabschnitt wird die jeweilige Dauer dieses Abschnitts errechnet. Hierüber werden, wie in der Abbildung ersichtlich, einige Prüfroutinen gefahren, die die Einhaltung von Pausen und der maximal zulässigen Arbeitszeit von 10 Arbeitsstunden je Tag (bei Minderjährigen von 8,5 Stunden) überprüft bzw. bei einer Überschreitung  farblich markiert. </t>
    </r>
    <r>
      <rPr>
        <b/>
        <sz val="11"/>
        <color theme="1"/>
        <rFont val="Arial"/>
        <family val="2"/>
      </rPr>
      <t xml:space="preserve">Eine Streichung oder Kappung von geleisteten Arbeitszeiten erfolgt bei diesem Ausweis jedoch nicht. </t>
    </r>
    <r>
      <rPr>
        <sz val="11"/>
        <color theme="1"/>
        <rFont val="Arial"/>
        <family val="2"/>
      </rPr>
      <t>Die Prüfroutinen haben reinen Informationscharakter und sollen Sie und Ihre zuständige Führungskraft unterstützen. Darüber hinaus haben Sie die Möglichkeit pro Tagesabschnitt die Nummer Ihrer in den Grunddaten und im Arbeitszeitmodell hinterlegten Dienststelle zu erfassen. Hierüber erhalten Sie und Ihre Führungskraft einen Überblick über die Verteilung Ihrer Arbeitszeit.</t>
    </r>
  </si>
  <si>
    <r>
      <t xml:space="preserve">Bei Auswahl der </t>
    </r>
    <r>
      <rPr>
        <b/>
        <sz val="11"/>
        <color theme="1"/>
        <rFont val="Arial"/>
        <family val="2"/>
      </rPr>
      <t>Tagesart "Krank"</t>
    </r>
    <r>
      <rPr>
        <sz val="11"/>
        <color theme="1"/>
        <rFont val="Arial"/>
        <family val="2"/>
      </rPr>
      <t xml:space="preserve"> wird bei ganztägiger bzw. untertägiger Erkrankung die jeweilige SOLL-Arbeitszeit bei der IST-Arbeitszeit des Tages ermittelt und hinterlegt.</t>
    </r>
  </si>
  <si>
    <r>
      <t xml:space="preserve">Bei Auswahl der </t>
    </r>
    <r>
      <rPr>
        <b/>
        <sz val="11"/>
        <color theme="1"/>
        <rFont val="Arial"/>
        <family val="2"/>
      </rPr>
      <t>Tagesart "Urlaub"</t>
    </r>
    <r>
      <rPr>
        <sz val="11"/>
        <color theme="1"/>
        <rFont val="Arial"/>
        <family val="2"/>
      </rPr>
      <t xml:space="preserve"> wird die jeweilige SOLL-Arbeitszeit bei der IST-Arbeitszeit des Tages ermittelt und hinterlegt.</t>
    </r>
  </si>
  <si>
    <r>
      <t>Die Auswahl der</t>
    </r>
    <r>
      <rPr>
        <b/>
        <sz val="11"/>
        <color theme="1"/>
        <rFont val="Arial"/>
        <family val="2"/>
      </rPr>
      <t xml:space="preserve"> Tagesart "Dienstreise"</t>
    </r>
    <r>
      <rPr>
        <sz val="11"/>
        <color theme="1"/>
        <rFont val="Arial"/>
        <family val="2"/>
      </rPr>
      <t xml:space="preserve"> enthält eine Berechnungslogik. Bitte erfassen Sie hier Ihre Reise- und Arbeitszeit in den Abschnitten 1 - 3. Zusätzlich erfassen Sie bitte die relevante Reisezeit in der dafür vorgesehenen davon-Spalte. Sollte die Reise- und Arbeitszeit die Dauer von 10 Stunden überschreiten, erfolgt hier eine Deckelung auf 10 Stunden (gemäß den Vorgaben des ABD). Liegt die Reise- und Arbeitszeit unterhalb Ihrer täglichen durchschnittlichen Arbeitszeit wird diese als Minimalwert beim der AZ IST angedruckt.</t>
    </r>
  </si>
  <si>
    <r>
      <t>Die Auswahl der</t>
    </r>
    <r>
      <rPr>
        <b/>
        <sz val="11"/>
        <color theme="1"/>
        <rFont val="Arial"/>
        <family val="2"/>
      </rPr>
      <t xml:space="preserve"> Tagesart "Fortbildung" </t>
    </r>
    <r>
      <rPr>
        <sz val="11"/>
        <color theme="1"/>
        <rFont val="Arial"/>
        <family val="2"/>
      </rPr>
      <t>enthält eine Berechnungslogik. Bitte erfassen Sie hier Ihre Reise- und Arbeitszeit in den Abschnitten 1 - 3. Zusätzlich erfassen Sie bitte die relevante Reisezeit in der dafür vorgesehenen davon-Spalte. Sollte die Reise- und Arbeitszeit die Dauer von 10 Stunden überschreiten, erfolgt hier eine Deckelung auf 10 Stunden (gemäß den Vorgaben des ABD). Liegt die Reise- und Arbeitszeit unterhalb Ihrer täglichen durchschnittlichen Arbeitszeit wird diese als Minimalwert beim der AZ IST angedruckt.</t>
    </r>
  </si>
  <si>
    <r>
      <t xml:space="preserve">Eine </t>
    </r>
    <r>
      <rPr>
        <b/>
        <u/>
        <sz val="11"/>
        <color theme="1"/>
        <rFont val="Arial"/>
        <family val="2"/>
      </rPr>
      <t>genehmigte</t>
    </r>
    <r>
      <rPr>
        <sz val="11"/>
        <color theme="1"/>
        <rFont val="Arial"/>
        <family val="2"/>
      </rPr>
      <t xml:space="preserve"> Arbeitsbefreiung in Form von</t>
    </r>
    <r>
      <rPr>
        <b/>
        <sz val="11"/>
        <color theme="1"/>
        <rFont val="Arial"/>
        <family val="2"/>
      </rPr>
      <t xml:space="preserve"> "Exerzitien"</t>
    </r>
    <r>
      <rPr>
        <sz val="11"/>
        <color theme="1"/>
        <rFont val="Arial"/>
        <family val="2"/>
      </rPr>
      <t xml:space="preserve">, </t>
    </r>
    <r>
      <rPr>
        <b/>
        <sz val="11"/>
        <color theme="1"/>
        <rFont val="Arial"/>
        <family val="2"/>
      </rPr>
      <t xml:space="preserve">"Wallfahrt" </t>
    </r>
    <r>
      <rPr>
        <sz val="11"/>
        <color theme="1"/>
        <rFont val="Arial"/>
        <family val="2"/>
      </rPr>
      <t>und</t>
    </r>
    <r>
      <rPr>
        <b/>
        <sz val="11"/>
        <color theme="1"/>
        <rFont val="Arial"/>
        <family val="2"/>
      </rPr>
      <t xml:space="preserve"> "Arbeitsbefreiung"</t>
    </r>
    <r>
      <rPr>
        <sz val="11"/>
        <color theme="1"/>
        <rFont val="Arial"/>
        <family val="2"/>
      </rPr>
      <t xml:space="preserve"> kann hier durch die Auswahl der jeweiligen Tagesart ausgewählt werden. Hierbei wird die jeweilige SOLL-Arbeitszeit automatisch für die IST-Arbeitszeit übernommen.</t>
    </r>
  </si>
  <si>
    <r>
      <t xml:space="preserve">Die Auswahl der Tagesart </t>
    </r>
    <r>
      <rPr>
        <b/>
        <sz val="11"/>
        <color theme="1"/>
        <rFont val="Arial"/>
        <family val="2"/>
      </rPr>
      <t>"Zeitausgleich"</t>
    </r>
    <r>
      <rPr>
        <sz val="11"/>
        <color theme="1"/>
        <rFont val="Arial"/>
        <family val="2"/>
      </rPr>
      <t xml:space="preserve"> dient lediglich als ergänzende Information. Die Erfassung der IST-Arbeitszeit durch den Mitarbeitenden ist hier erforderlich. Das entsprechende Zeitdefizit des Tages errechnet sich automatisch.</t>
    </r>
  </si>
  <si>
    <r>
      <t xml:space="preserve">Bei Auswahl der Tagesart </t>
    </r>
    <r>
      <rPr>
        <b/>
        <sz val="11"/>
        <color theme="1"/>
        <rFont val="Arial"/>
        <family val="2"/>
      </rPr>
      <t>"Namenstag"</t>
    </r>
    <r>
      <rPr>
        <sz val="11"/>
        <color theme="1"/>
        <rFont val="Arial"/>
        <family val="2"/>
      </rPr>
      <t xml:space="preserve"> wird als IST-Arbeitszeit der gemäß der Arbeitsverträglichen Regelungen und Sonderregelungen für die Beschäftigten der Diözese Regensburg errechnete Wert angesetzt.</t>
    </r>
  </si>
  <si>
    <r>
      <t xml:space="preserve">Bei Auswahl der Tagesart </t>
    </r>
    <r>
      <rPr>
        <b/>
        <sz val="11"/>
        <color theme="1"/>
        <rFont val="Arial"/>
        <family val="2"/>
      </rPr>
      <t>"Betriebsausflug"</t>
    </r>
    <r>
      <rPr>
        <sz val="11"/>
        <color theme="1"/>
        <rFont val="Arial"/>
        <family val="2"/>
      </rPr>
      <t xml:space="preserve"> wird als IST-Arbeitszeit der gemäß der Arbeitsverträglichen Regelungen und Sonderregelungen für die Beschäftigten der Diözese Regensburg errechnete Wert angesetzt.</t>
    </r>
  </si>
  <si>
    <r>
      <t xml:space="preserve">Über die Tagesart </t>
    </r>
    <r>
      <rPr>
        <b/>
        <sz val="11"/>
        <color theme="1"/>
        <rFont val="Arial"/>
        <family val="2"/>
      </rPr>
      <t>"Azubi - Berufsschule"</t>
    </r>
    <r>
      <rPr>
        <sz val="11"/>
        <color theme="1"/>
        <rFont val="Arial"/>
        <family val="2"/>
      </rPr>
      <t xml:space="preserve"> erfassen Auszubildende Ihre Berufsschultage.</t>
    </r>
  </si>
  <si>
    <r>
      <t xml:space="preserve">Über die Tagesart </t>
    </r>
    <r>
      <rPr>
        <b/>
        <sz val="11"/>
        <color theme="1"/>
        <rFont val="Arial"/>
        <family val="2"/>
      </rPr>
      <t>"Azubi - Schriftliche AP"</t>
    </r>
    <r>
      <rPr>
        <sz val="11"/>
        <color theme="1"/>
        <rFont val="Arial"/>
        <family val="2"/>
      </rPr>
      <t xml:space="preserve"> erfassen Auszubildende den Tag der schriftlichen Abschlussprüfung.</t>
    </r>
  </si>
  <si>
    <r>
      <t>Über die Tagesart</t>
    </r>
    <r>
      <rPr>
        <b/>
        <sz val="11"/>
        <color theme="1"/>
        <rFont val="Arial"/>
        <family val="2"/>
      </rPr>
      <t xml:space="preserve"> "Azubi - Mündliche AP" </t>
    </r>
    <r>
      <rPr>
        <sz val="11"/>
        <color theme="1"/>
        <rFont val="Arial"/>
        <family val="2"/>
      </rPr>
      <t>erfassen Auszubildende den Tag der mündlichen Abschlussprüfung.</t>
    </r>
  </si>
  <si>
    <r>
      <t xml:space="preserve">Über die Tagesart </t>
    </r>
    <r>
      <rPr>
        <b/>
        <sz val="11"/>
        <color theme="1"/>
        <rFont val="Arial"/>
        <family val="2"/>
      </rPr>
      <t xml:space="preserve">"Azubi - Zwischenprüfung" </t>
    </r>
    <r>
      <rPr>
        <sz val="11"/>
        <color theme="1"/>
        <rFont val="Arial"/>
        <family val="2"/>
      </rPr>
      <t>erfassen Auszubildende den Tag der Zwischenprüfung.</t>
    </r>
  </si>
  <si>
    <r>
      <t xml:space="preserve">Über die Tagesart </t>
    </r>
    <r>
      <rPr>
        <b/>
        <sz val="11"/>
        <color theme="1"/>
        <rFont val="Arial"/>
        <family val="2"/>
      </rPr>
      <t xml:space="preserve">"Azubi - Prüfungsvorbereitung" </t>
    </r>
    <r>
      <rPr>
        <sz val="11"/>
        <color theme="1"/>
        <rFont val="Arial"/>
        <family val="2"/>
      </rPr>
      <t>erfassen Auszubildende den Vorbereitungstag vor der schriftlichen Abschlussprüfung.</t>
    </r>
  </si>
  <si>
    <r>
      <t xml:space="preserve">Die Tagesart </t>
    </r>
    <r>
      <rPr>
        <b/>
        <sz val="11"/>
        <color theme="1"/>
        <rFont val="Arial"/>
        <family val="2"/>
      </rPr>
      <t>"keine Vergütung"</t>
    </r>
    <r>
      <rPr>
        <sz val="11"/>
        <color theme="1"/>
        <rFont val="Arial"/>
        <family val="2"/>
      </rPr>
      <t xml:space="preserve"> dient der Verschlüsselung von Tagesarten ohne Vergütungsanspruch. Hierunter fällt insbesondere der unbezahlte Urlaub. IST- und SOLL-Arbeitszeit werden mit 00:00 Stunden ausgewiesen.</t>
    </r>
  </si>
  <si>
    <r>
      <t xml:space="preserve">Die Tagesart </t>
    </r>
    <r>
      <rPr>
        <b/>
        <sz val="11"/>
        <color theme="1"/>
        <rFont val="Arial"/>
        <family val="2"/>
      </rPr>
      <t>"Dienst (Feiertag)"</t>
    </r>
    <r>
      <rPr>
        <sz val="11"/>
        <color theme="1"/>
        <rFont val="Arial"/>
        <family val="2"/>
      </rPr>
      <t xml:space="preserve"> wird von Mitarbeitenden benötigt, die auch an Feiertagen eine SOLL-Arbeitszeit abzuleisten haben. Die in Grundmaske in der Tabelle mit den Feiertagen hinterlegte Arbeitszeit wird bei Auswahl im jeweiligen Monatsblatt als SOLL-Arbeitszeit hinterlegt.</t>
    </r>
  </si>
  <si>
    <r>
      <t xml:space="preserve">In der Spalte </t>
    </r>
    <r>
      <rPr>
        <b/>
        <sz val="11"/>
        <color theme="1"/>
        <rFont val="Arial"/>
        <family val="2"/>
      </rPr>
      <t>"Bereitschaftsdienst"</t>
    </r>
    <r>
      <rPr>
        <sz val="11"/>
        <color theme="1"/>
        <rFont val="Arial"/>
        <family val="2"/>
      </rPr>
      <t xml:space="preserve"> können Sie die Gesamtdauer in Std:Min Ihres Bereitschaftsdienstes erfassen. Die Anwendung errechnet Ihnen vollautomatisiert den entsprechenden faktorisierten anrechenbaren Zeitansatz mit 20% bzw. ab dem 8. Bereitschaftsdienst mit 25% der erfassten Bereitschaftsdienstdauer.</t>
    </r>
  </si>
  <si>
    <t>AAA</t>
  </si>
  <si>
    <t>BBB</t>
  </si>
  <si>
    <t>CCC</t>
  </si>
  <si>
    <t>Regenerationstag</t>
  </si>
  <si>
    <t>Eheschließung Kind</t>
  </si>
  <si>
    <t>Eheschließung</t>
  </si>
  <si>
    <t>Begräbnis Ehegatte</t>
  </si>
  <si>
    <t>Begräbnis Kind</t>
  </si>
  <si>
    <t xml:space="preserve"> Begräbnis Elternteil</t>
  </si>
  <si>
    <t>Begräbnis Geschwisterteil</t>
  </si>
  <si>
    <t>Begräbnis Großelternteil</t>
  </si>
  <si>
    <t>Begräbnis Schwiegerelternteil</t>
  </si>
  <si>
    <t>Niederkunft der Ehefrau, Lebenspartnerin im S.d. Lebenspartnerschaftsgesetzes oder des in ehe- oder lebenspartnerschaftsähnlicher Gemeinschaf lebenden Lebensgefährtin</t>
  </si>
  <si>
    <r>
      <t>Niederkunft der Ehefrau (siehe oben) wenn</t>
    </r>
    <r>
      <rPr>
        <b/>
        <sz val="11"/>
        <rFont val="Calibri"/>
        <family val="2"/>
        <scheme val="minor"/>
      </rPr>
      <t xml:space="preserve"> bereits ein Kind unter 12 Jahren</t>
    </r>
    <r>
      <rPr>
        <sz val="11"/>
        <rFont val="Calibri"/>
        <family val="2"/>
        <scheme val="minor"/>
      </rPr>
      <t xml:space="preserve"> oder </t>
    </r>
    <r>
      <rPr>
        <b/>
        <sz val="11"/>
        <rFont val="Calibri"/>
        <family val="2"/>
        <scheme val="minor"/>
      </rPr>
      <t>eine pflegebedürftige Person im selben Haushalt</t>
    </r>
    <r>
      <rPr>
        <sz val="11"/>
        <rFont val="Calibri"/>
        <family val="2"/>
        <scheme val="minor"/>
      </rPr>
      <t xml:space="preserve"> lebt, zusätzlich </t>
    </r>
  </si>
  <si>
    <t>Tod der Ehegattin/des Ehegatten, der Lebenspartnerin/des Lebenspartners im Sinne des Lebenspartnerschaftsgesetzes oder der/des in ehe- oder lebenspartnerschaftsähnlicher Gemeinschaft lebenden Lebensgefährtin/Lebensgefährten,</t>
  </si>
  <si>
    <t>Tod eines Kindes</t>
  </si>
  <si>
    <r>
      <t xml:space="preserve">einer/eines Angehörigen, soweit sie/er in demselben Haushalt lebt, </t>
    </r>
    <r>
      <rPr>
        <sz val="8"/>
        <rFont val="Calibri"/>
        <family val="2"/>
        <scheme val="minor"/>
      </rPr>
      <t>Voraussetzung:</t>
    </r>
    <r>
      <rPr>
        <b/>
        <sz val="8"/>
        <rFont val="Calibri"/>
        <family val="2"/>
        <scheme val="minor"/>
      </rPr>
      <t xml:space="preserve"> keine kurzfristige Möglichkeit der Pflegeübernahme durch eine andere Person</t>
    </r>
    <r>
      <rPr>
        <sz val="8"/>
        <rFont val="Calibri"/>
        <family val="2"/>
        <scheme val="minor"/>
      </rPr>
      <t xml:space="preserve"> und </t>
    </r>
    <r>
      <rPr>
        <b/>
        <sz val="8"/>
        <rFont val="Calibri"/>
        <family val="2"/>
        <scheme val="minor"/>
      </rPr>
      <t>Bescheinigung</t>
    </r>
    <r>
      <rPr>
        <sz val="8"/>
        <rFont val="Calibri"/>
        <family val="2"/>
        <scheme val="minor"/>
      </rPr>
      <t xml:space="preserve"> der Notwendigkeit zur Betreuung</t>
    </r>
    <r>
      <rPr>
        <b/>
        <sz val="8"/>
        <rFont val="Calibri"/>
        <family val="2"/>
        <scheme val="minor"/>
      </rPr>
      <t xml:space="preserve"> durch den behandelnden Arzt</t>
    </r>
    <r>
      <rPr>
        <sz val="8"/>
        <rFont val="Calibri"/>
        <family val="2"/>
        <scheme val="minor"/>
      </rPr>
      <t xml:space="preserve"> </t>
    </r>
  </si>
  <si>
    <r>
      <t xml:space="preserve">eines Kindes bis zum 12. Lebensjahr und kein Anspruch nach § 45 SGB V (nicht gesetzlich krankenversichert) besteht oder bestanden hat
</t>
    </r>
    <r>
      <rPr>
        <sz val="8"/>
        <rFont val="Calibri"/>
        <family val="2"/>
        <scheme val="minor"/>
      </rPr>
      <t xml:space="preserve">Voraussetzung: </t>
    </r>
    <r>
      <rPr>
        <b/>
        <sz val="8"/>
        <rFont val="Calibri"/>
        <family val="2"/>
        <scheme val="minor"/>
      </rPr>
      <t>keine kurzfristige Möglichkeit der Pflegeübernahme durch eine andere Person</t>
    </r>
    <r>
      <rPr>
        <sz val="8"/>
        <rFont val="Calibri"/>
        <family val="2"/>
        <scheme val="minor"/>
      </rPr>
      <t xml:space="preserve"> und </t>
    </r>
    <r>
      <rPr>
        <b/>
        <sz val="8"/>
        <rFont val="Calibri"/>
        <family val="2"/>
        <scheme val="minor"/>
      </rPr>
      <t xml:space="preserve">Bescheinigung </t>
    </r>
    <r>
      <rPr>
        <sz val="8"/>
        <rFont val="Calibri"/>
        <family val="2"/>
        <scheme val="minor"/>
      </rPr>
      <t>der Notwendigkeit zur Betreuung</t>
    </r>
    <r>
      <rPr>
        <b/>
        <sz val="8"/>
        <rFont val="Calibri"/>
        <family val="2"/>
        <scheme val="minor"/>
      </rPr>
      <t xml:space="preserve"> durch den behandelnden Arzt </t>
    </r>
  </si>
  <si>
    <r>
      <t xml:space="preserve">wenn diese </t>
    </r>
    <r>
      <rPr>
        <b/>
        <sz val="11"/>
        <rFont val="Calibri"/>
        <family val="2"/>
        <scheme val="minor"/>
      </rPr>
      <t>während der Abeitszeit erfolgen muss</t>
    </r>
    <r>
      <rPr>
        <sz val="11"/>
        <rFont val="Calibri"/>
        <family val="2"/>
        <scheme val="minor"/>
      </rPr>
      <t xml:space="preserve">, da z.B. ansonsten keine andere Terminierung möglich ist, es sei denn, es besteht diesbezüglich eine abweichende Gleitzeitregelung </t>
    </r>
  </si>
  <si>
    <t xml:space="preserve">Tag der Taufe oder Firmung bei Übernahme des kirchenlichen Patenamtes </t>
  </si>
  <si>
    <t>Eheschließung der/des Beschäftigten</t>
  </si>
  <si>
    <t>Begräbnis eines Elternteils</t>
  </si>
  <si>
    <t>Begräbnis eines Kindes</t>
  </si>
  <si>
    <t>Begräbnis eines Geschwisters</t>
  </si>
  <si>
    <t>Begräbnis eines Großelternteils</t>
  </si>
  <si>
    <t>Begräbnis eines Schwiegerelternteils</t>
  </si>
  <si>
    <t>Begräbnis der Ehegattin/des Ehegatten, der Lebenspartnerin/des Lebenspartners im Sinne des Lebenspartnerschaftsgesetzes oder der/des in ehe- oder lebenspartnerschaftsähnlicher Gemeinschaft lebenden Lebensgefährtin/Lebensgefährten</t>
  </si>
  <si>
    <t>wenn es auf einen Arbeitstag fällt</t>
  </si>
  <si>
    <r>
      <t xml:space="preserve">Teilnahme an Wallfahrten </t>
    </r>
    <r>
      <rPr>
        <sz val="8"/>
        <rFont val="Calibri"/>
        <family val="2"/>
        <scheme val="minor"/>
      </rPr>
      <t xml:space="preserve">(Antragstellung über Formular "Antrag auf Arbeitsbefreiung nach § 29 ABD") </t>
    </r>
  </si>
  <si>
    <r>
      <t xml:space="preserve">Teilnahme an Exerzitien, Einkehrtagen, Deutschen Katholikentagen, Ökumenischen Kirchentagen, oder Deutschen Evangelischen Kirchentagen im Rahmen der betrieblichen Möglichkeiten </t>
    </r>
    <r>
      <rPr>
        <sz val="8"/>
        <rFont val="Calibri"/>
        <family val="2"/>
        <scheme val="minor"/>
      </rPr>
      <t xml:space="preserve">(Antragstellung über Formular "Antrag auf Arbeitsbefreiung nach § 29 ABD") 
Auf Arbeitsbefreiung na ch diesem Buchstaben sind Arbeitsbefreiungen zur Teilnahme an Exerzitien oder Einkehrtagen nach diözesanen Regelungen anzurechnen. </t>
    </r>
  </si>
  <si>
    <t>Umwandlungstag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</si>
</sst>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 _€_-;\-* #,##0.00\ _€_-;_-* &quot;-&quot;??\ _€_-;_-@_-"/>
    <numFmt numFmtId="165" formatCode="[h]:mm:ss;@"/>
    <numFmt numFmtId="166" formatCode="[$-F800]dddd\,\ mmmm\ dd\,\ yyyy"/>
    <numFmt numFmtId="167" formatCode="0.00_ ;[Red]\-0.00\ "/>
    <numFmt numFmtId="168" formatCode="0.0\ &quot;Tage&quot;"/>
    <numFmt numFmtId="169" formatCode="[h]:mm;@"/>
    <numFmt numFmtId="170" formatCode="0\ &quot;Tage&quot;"/>
    <numFmt numFmtId="171" formatCode="#,##0.0"/>
    <numFmt numFmtId="172" formatCode="0.0"/>
    <numFmt numFmtId="173" formatCode="0.0\ %"/>
    <numFmt numFmtId="174" formatCode="####\ &quot;Tage&quot;"/>
    <numFmt numFmtId="175" formatCode="#,##0.00_ ;\-#,##0.00\ "/>
    <numFmt numFmtId="176" formatCode="#,##0.0_ ;[Red]\-#,##0.0\ "/>
    <numFmt numFmtId="177" formatCode="#,##0.0000"/>
    <numFmt numFmtId="178" formatCode="dd/"/>
  </numFmts>
  <fonts count="66" x14ac:knownFonts="1">
    <font>
      <sz val="11"/>
      <color theme="1"/>
      <name val="Calibri"/>
      <family val="2"/>
      <scheme val="minor"/>
    </font>
    <font>
      <sz val="10"/>
      <name val="Times New Roman"/>
      <family val="1"/>
    </font>
    <font>
      <sz val="10"/>
      <name val="Times New Roman"/>
      <family val="1"/>
    </font>
    <font>
      <sz val="11"/>
      <color theme="1"/>
      <name val="Calibri"/>
      <family val="2"/>
      <scheme val="minor"/>
    </font>
    <font>
      <sz val="11"/>
      <color rgb="FF006100"/>
      <name val="Calibri"/>
      <family val="2"/>
      <scheme val="minor"/>
    </font>
    <font>
      <sz val="26"/>
      <name val="Calibri Light"/>
      <family val="2"/>
    </font>
    <font>
      <sz val="14"/>
      <color theme="0"/>
      <name val="Calibri Light"/>
      <family val="2"/>
    </font>
    <font>
      <sz val="26"/>
      <color theme="1"/>
      <name val="Calibri Light"/>
      <family val="2"/>
    </font>
    <font>
      <sz val="14"/>
      <color theme="1"/>
      <name val="Calibri Light"/>
      <family val="2"/>
    </font>
    <font>
      <sz val="8"/>
      <color theme="1"/>
      <name val="Calibri Light"/>
      <family val="2"/>
    </font>
    <font>
      <sz val="11"/>
      <color theme="1"/>
      <name val="Calibri Light"/>
      <family val="2"/>
    </font>
    <font>
      <b/>
      <sz val="24"/>
      <color theme="1"/>
      <name val="Calibri Light"/>
      <family val="2"/>
    </font>
    <font>
      <b/>
      <sz val="10"/>
      <color theme="1"/>
      <name val="Calibri Light"/>
      <family val="2"/>
    </font>
    <font>
      <sz val="9.5"/>
      <color theme="1"/>
      <name val="Calibri Light"/>
      <family val="2"/>
    </font>
    <font>
      <sz val="24"/>
      <color theme="1"/>
      <name val="Calibri Light"/>
      <family val="2"/>
    </font>
    <font>
      <sz val="10"/>
      <color theme="1"/>
      <name val="Calibri Light"/>
      <family val="2"/>
    </font>
    <font>
      <b/>
      <sz val="14"/>
      <color theme="1"/>
      <name val="Calibri Light"/>
      <family val="2"/>
    </font>
    <font>
      <sz val="11"/>
      <name val="Calibri Light"/>
      <family val="2"/>
    </font>
    <font>
      <b/>
      <sz val="11"/>
      <color theme="1"/>
      <name val="Calibri Light"/>
      <family val="2"/>
    </font>
    <font>
      <sz val="10"/>
      <name val="Calibri Light"/>
      <family val="2"/>
    </font>
    <font>
      <b/>
      <sz val="11"/>
      <color theme="1" tint="0.249977111117893"/>
      <name val="Calibri Light"/>
      <family val="2"/>
    </font>
    <font>
      <b/>
      <i/>
      <sz val="11"/>
      <color theme="1" tint="0.249977111117893"/>
      <name val="Calibri Light"/>
      <family val="2"/>
    </font>
    <font>
      <sz val="11"/>
      <color theme="1" tint="0.249977111117893"/>
      <name val="Calibri Light"/>
      <family val="2"/>
    </font>
    <font>
      <sz val="10"/>
      <color theme="0" tint="-4.9989318521683403E-2"/>
      <name val="Calibri Light"/>
      <family val="2"/>
    </font>
    <font>
      <sz val="11"/>
      <color theme="1" tint="0.499984740745262"/>
      <name val="Calibri Light"/>
      <family val="2"/>
    </font>
    <font>
      <sz val="11"/>
      <name val="Calibri"/>
      <family val="2"/>
      <scheme val="minor"/>
    </font>
    <font>
      <b/>
      <sz val="11"/>
      <name val="Calibri"/>
      <family val="2"/>
      <scheme val="minor"/>
    </font>
    <font>
      <b/>
      <sz val="12"/>
      <name val="Calibri"/>
      <family val="2"/>
      <scheme val="minor"/>
    </font>
    <font>
      <b/>
      <sz val="14"/>
      <name val="Calibri"/>
      <family val="2"/>
      <scheme val="minor"/>
    </font>
    <font>
      <sz val="8"/>
      <name val="Calibri"/>
      <family val="2"/>
      <scheme val="minor"/>
    </font>
    <font>
      <b/>
      <u/>
      <sz val="11"/>
      <name val="Calibri"/>
      <family val="2"/>
      <scheme val="minor"/>
    </font>
    <font>
      <b/>
      <sz val="8"/>
      <name val="Calibri"/>
      <family val="2"/>
      <scheme val="minor"/>
    </font>
    <font>
      <i/>
      <sz val="11"/>
      <color theme="1" tint="0.499984740745262"/>
      <name val="Calibri Light"/>
      <family val="2"/>
    </font>
    <font>
      <sz val="9.5"/>
      <color theme="1"/>
      <name val="Arial"/>
      <family val="2"/>
    </font>
    <font>
      <sz val="14"/>
      <color theme="1"/>
      <name val="Arial"/>
      <family val="2"/>
    </font>
    <font>
      <sz val="14"/>
      <name val="Arial"/>
      <family val="2"/>
    </font>
    <font>
      <b/>
      <sz val="14"/>
      <name val="Arial"/>
      <family val="2"/>
    </font>
    <font>
      <b/>
      <sz val="14"/>
      <color theme="1"/>
      <name val="Arial"/>
      <family val="2"/>
    </font>
    <font>
      <b/>
      <sz val="12"/>
      <color theme="0"/>
      <name val="Arial"/>
      <family val="2"/>
    </font>
    <font>
      <b/>
      <sz val="8"/>
      <color theme="0"/>
      <name val="Arial"/>
      <family val="2"/>
    </font>
    <font>
      <b/>
      <sz val="11"/>
      <color theme="0"/>
      <name val="Arial"/>
      <family val="2"/>
    </font>
    <font>
      <sz val="12"/>
      <color theme="1"/>
      <name val="Arial"/>
      <family val="2"/>
    </font>
    <font>
      <sz val="8"/>
      <color theme="1"/>
      <name val="Arial"/>
      <family val="2"/>
    </font>
    <font>
      <sz val="11"/>
      <color theme="1"/>
      <name val="Arial"/>
      <family val="2"/>
    </font>
    <font>
      <u/>
      <sz val="11"/>
      <color theme="1"/>
      <name val="Arial"/>
      <family val="2"/>
    </font>
    <font>
      <sz val="11"/>
      <color theme="1" tint="0.499984740745262"/>
      <name val="Arial"/>
      <family val="2"/>
    </font>
    <font>
      <b/>
      <sz val="11"/>
      <color theme="1"/>
      <name val="Arial"/>
      <family val="2"/>
    </font>
    <font>
      <b/>
      <sz val="11"/>
      <color rgb="FFFF0000"/>
      <name val="Arial"/>
      <family val="2"/>
    </font>
    <font>
      <sz val="12"/>
      <color theme="1" tint="0.499984740745262"/>
      <name val="Arial"/>
      <family val="2"/>
    </font>
    <font>
      <b/>
      <sz val="26"/>
      <name val="Arial"/>
      <family val="2"/>
    </font>
    <font>
      <b/>
      <sz val="14"/>
      <color theme="0"/>
      <name val="Calibri Light"/>
      <family val="2"/>
    </font>
    <font>
      <b/>
      <sz val="10"/>
      <color theme="0"/>
      <name val="Arial"/>
      <family val="2"/>
    </font>
    <font>
      <sz val="8"/>
      <color theme="0"/>
      <name val="Arial"/>
      <family val="2"/>
    </font>
    <font>
      <sz val="11"/>
      <color rgb="FFFF0000"/>
      <name val="Arial"/>
      <family val="2"/>
    </font>
    <font>
      <sz val="12"/>
      <name val="Arial"/>
      <family val="2"/>
    </font>
    <font>
      <b/>
      <sz val="11"/>
      <name val="Arial"/>
      <family val="2"/>
    </font>
    <font>
      <sz val="7.5"/>
      <color theme="0"/>
      <name val="Arial"/>
      <family val="2"/>
    </font>
    <font>
      <sz val="22"/>
      <color theme="0"/>
      <name val="Arial"/>
      <family val="2"/>
    </font>
    <font>
      <sz val="16"/>
      <color theme="1"/>
      <name val="Arial"/>
      <family val="2"/>
    </font>
    <font>
      <u/>
      <sz val="16"/>
      <color theme="1"/>
      <name val="Arial"/>
      <family val="2"/>
    </font>
    <font>
      <b/>
      <u/>
      <sz val="11"/>
      <color theme="1"/>
      <name val="Arial"/>
      <family val="2"/>
    </font>
    <font>
      <b/>
      <sz val="12"/>
      <color theme="1"/>
      <name val="Arial"/>
      <family val="2"/>
    </font>
    <font>
      <sz val="11"/>
      <name val="Arial"/>
      <family val="2"/>
    </font>
    <font>
      <sz val="10"/>
      <color theme="1"/>
      <name val="Arial"/>
      <family val="2"/>
    </font>
    <font>
      <u/>
      <sz val="10"/>
      <color theme="1"/>
      <name val="Arial"/>
      <family val="2"/>
    </font>
    <font>
      <b/>
      <u/>
      <sz val="16"/>
      <color theme="1"/>
      <name val="Arial"/>
      <family val="2"/>
    </font>
  </fonts>
  <fills count="23">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bgColor rgb="FFFFFF00"/>
      </patternFill>
    </fill>
    <fill>
      <patternFill patternType="solid">
        <fgColor theme="4" tint="0.79998168889431442"/>
        <bgColor rgb="FF008080"/>
      </patternFill>
    </fill>
    <fill>
      <patternFill patternType="solid">
        <fgColor theme="4" tint="0.59999389629810485"/>
        <bgColor rgb="FF008080"/>
      </patternFill>
    </fill>
    <fill>
      <patternFill patternType="solid">
        <fgColor theme="0" tint="-0.14996795556505021"/>
        <bgColor indexed="64"/>
      </patternFill>
    </fill>
    <fill>
      <patternFill patternType="solid">
        <fgColor theme="4" tint="-0.249977111117893"/>
        <bgColor rgb="FFFFFF00"/>
      </patternFill>
    </fill>
    <fill>
      <patternFill patternType="solid">
        <fgColor theme="4" tint="0.399975585192419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C00000"/>
        <bgColor indexed="64"/>
      </patternFill>
    </fill>
    <fill>
      <patternFill patternType="solid">
        <fgColor theme="0" tint="-0.499984740745262"/>
        <bgColor indexed="64"/>
      </patternFill>
    </fill>
  </fills>
  <borders count="112">
    <border>
      <left/>
      <right/>
      <top/>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top/>
      <bottom style="thin">
        <color theme="0"/>
      </bottom>
      <diagonal/>
    </border>
    <border>
      <left/>
      <right style="thin">
        <color theme="0"/>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bottom style="thin">
        <color theme="0"/>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indexed="64"/>
      </left>
      <right style="medium">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auto="1"/>
      </right>
      <top style="thin">
        <color indexed="64"/>
      </top>
      <bottom style="thin">
        <color indexed="64"/>
      </bottom>
      <diagonal/>
    </border>
    <border>
      <left style="medium">
        <color indexed="64"/>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right style="thin">
        <color theme="0"/>
      </right>
      <top/>
      <bottom style="thin">
        <color theme="0"/>
      </bottom>
      <diagonal/>
    </border>
    <border>
      <left/>
      <right style="thin">
        <color theme="0"/>
      </right>
      <top/>
      <bottom/>
      <diagonal/>
    </border>
    <border>
      <left/>
      <right style="medium">
        <color indexed="64"/>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hair">
        <color theme="1" tint="0.499984740745262"/>
      </bottom>
      <diagonal/>
    </border>
    <border>
      <left/>
      <right/>
      <top style="thin">
        <color theme="0"/>
      </top>
      <bottom style="hair">
        <color theme="1" tint="0.499984740745262"/>
      </bottom>
      <diagonal/>
    </border>
    <border>
      <left/>
      <right/>
      <top style="hair">
        <color theme="1" tint="0.499984740745262"/>
      </top>
      <bottom style="hair">
        <color theme="1" tint="0.499984740745262"/>
      </bottom>
      <diagonal/>
    </border>
    <border>
      <left/>
      <right style="thin">
        <color theme="0"/>
      </right>
      <top style="hair">
        <color theme="1" tint="0.499984740745262"/>
      </top>
      <bottom style="hair">
        <color theme="1" tint="0.499984740745262"/>
      </bottom>
      <diagonal/>
    </border>
    <border>
      <left style="thin">
        <color theme="0"/>
      </left>
      <right/>
      <top/>
      <bottom style="thin">
        <color theme="0"/>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medium">
        <color indexed="64"/>
      </bottom>
      <diagonal/>
    </border>
    <border>
      <left/>
      <right style="thin">
        <color auto="1"/>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diagonal/>
    </border>
    <border>
      <left/>
      <right style="thin">
        <color theme="0"/>
      </right>
      <top style="thin">
        <color theme="0"/>
      </top>
      <bottom/>
      <diagonal/>
    </border>
    <border>
      <left/>
      <right/>
      <top/>
      <bottom style="hair">
        <color auto="1"/>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right style="thin">
        <color indexed="64"/>
      </right>
      <top style="thin">
        <color indexed="64"/>
      </top>
      <bottom/>
      <diagonal/>
    </border>
    <border>
      <left style="thin">
        <color indexed="64"/>
      </left>
      <right style="thin">
        <color theme="0"/>
      </right>
      <top/>
      <bottom/>
      <diagonal/>
    </border>
    <border>
      <left/>
      <right style="thin">
        <color indexed="64"/>
      </right>
      <top/>
      <bottom style="thin">
        <color theme="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theme="0"/>
      </top>
      <bottom style="thin">
        <color theme="0"/>
      </bottom>
      <diagonal/>
    </border>
    <border>
      <left/>
      <right style="thin">
        <color auto="1"/>
      </right>
      <top style="thin">
        <color theme="0"/>
      </top>
      <bottom style="thin">
        <color theme="0"/>
      </bottom>
      <diagonal/>
    </border>
    <border>
      <left style="thin">
        <color indexed="64"/>
      </left>
      <right/>
      <top style="thin">
        <color theme="0"/>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style="thin">
        <color theme="0"/>
      </top>
      <bottom/>
      <diagonal/>
    </border>
    <border>
      <left/>
      <right/>
      <top style="thin">
        <color theme="0"/>
      </top>
      <bottom style="thin">
        <color indexed="64"/>
      </bottom>
      <diagonal/>
    </border>
    <border>
      <left style="thin">
        <color indexed="64"/>
      </left>
      <right/>
      <top style="thin">
        <color theme="0"/>
      </top>
      <bottom/>
      <diagonal/>
    </border>
    <border>
      <left style="medium">
        <color indexed="64"/>
      </left>
      <right style="thin">
        <color indexed="64"/>
      </right>
      <top/>
      <bottom/>
      <diagonal/>
    </border>
    <border>
      <left style="thin">
        <color theme="0"/>
      </left>
      <right style="thin">
        <color indexed="64"/>
      </right>
      <top style="thin">
        <color indexed="64"/>
      </top>
      <bottom style="thin">
        <color theme="0"/>
      </bottom>
      <diagonal/>
    </border>
    <border>
      <left style="thin">
        <color indexed="64"/>
      </left>
      <right/>
      <top/>
      <bottom style="hair">
        <color theme="1" tint="0.499984740745262"/>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right/>
      <top style="hair">
        <color theme="1" tint="0.499984740745262"/>
      </top>
      <bottom style="thin">
        <color indexed="64"/>
      </bottom>
      <diagonal/>
    </border>
    <border>
      <left/>
      <right style="thin">
        <color theme="0"/>
      </right>
      <top style="hair">
        <color theme="1" tint="0.499984740745262"/>
      </top>
      <bottom style="thin">
        <color indexed="64"/>
      </bottom>
      <diagonal/>
    </border>
    <border>
      <left style="thin">
        <color theme="0"/>
      </left>
      <right/>
      <top/>
      <bottom style="thin">
        <color indexed="64"/>
      </bottom>
      <diagonal/>
    </border>
    <border>
      <left/>
      <right/>
      <top/>
      <bottom style="medium">
        <color indexed="64"/>
      </bottom>
      <diagonal/>
    </border>
  </borders>
  <cellStyleXfs count="8">
    <xf numFmtId="0" fontId="0" fillId="0" borderId="0"/>
    <xf numFmtId="0" fontId="1" fillId="0" borderId="0"/>
    <xf numFmtId="0" fontId="2" fillId="0" borderId="0"/>
    <xf numFmtId="164" fontId="3" fillId="0" borderId="0" applyFont="0" applyFill="0" applyBorder="0" applyAlignment="0" applyProtection="0"/>
    <xf numFmtId="0" fontId="4" fillId="2" borderId="0" applyNumberFormat="0" applyBorder="0" applyAlignment="0" applyProtection="0"/>
    <xf numFmtId="0" fontId="1" fillId="0" borderId="0"/>
    <xf numFmtId="164" fontId="3" fillId="0" borderId="0" applyFont="0" applyFill="0" applyBorder="0" applyAlignment="0" applyProtection="0"/>
    <xf numFmtId="9" fontId="3" fillId="0" borderId="0" applyFont="0" applyFill="0" applyBorder="0" applyAlignment="0" applyProtection="0"/>
  </cellStyleXfs>
  <cellXfs count="502">
    <xf numFmtId="0" fontId="0" fillId="0" borderId="0" xfId="0"/>
    <xf numFmtId="0" fontId="5" fillId="0" borderId="0" xfId="0" applyFont="1"/>
    <xf numFmtId="0" fontId="9" fillId="0" borderId="0" xfId="0" applyFont="1"/>
    <xf numFmtId="0" fontId="10" fillId="0" borderId="0" xfId="0" applyFont="1"/>
    <xf numFmtId="0" fontId="11" fillId="0" borderId="0" xfId="0" applyFont="1"/>
    <xf numFmtId="0" fontId="11" fillId="0" borderId="0" xfId="0" applyFont="1" applyAlignment="1">
      <alignment horizontal="right"/>
    </xf>
    <xf numFmtId="0" fontId="12" fillId="0" borderId="0" xfId="0" applyFont="1"/>
    <xf numFmtId="0" fontId="13" fillId="0" borderId="0" xfId="0" applyFont="1" applyAlignment="1">
      <alignment vertical="center"/>
    </xf>
    <xf numFmtId="0" fontId="14" fillId="0" borderId="0" xfId="0" applyFont="1" applyAlignment="1">
      <alignment vertical="center"/>
    </xf>
    <xf numFmtId="167" fontId="15" fillId="0" borderId="0" xfId="0" applyNumberFormat="1" applyFont="1"/>
    <xf numFmtId="0" fontId="10" fillId="0" borderId="0" xfId="0" applyFont="1" applyAlignment="1">
      <alignment vertical="center"/>
    </xf>
    <xf numFmtId="0" fontId="13" fillId="0" borderId="0" xfId="0" applyFont="1"/>
    <xf numFmtId="0" fontId="10" fillId="0" borderId="0" xfId="0" applyFont="1" applyAlignment="1">
      <alignment horizontal="right"/>
    </xf>
    <xf numFmtId="0" fontId="9" fillId="0" borderId="0" xfId="0" applyFont="1" applyAlignment="1">
      <alignment vertical="center"/>
    </xf>
    <xf numFmtId="0" fontId="10" fillId="0" borderId="0" xfId="0" applyFont="1" applyAlignment="1">
      <alignment horizontal="left"/>
    </xf>
    <xf numFmtId="0" fontId="8" fillId="0" borderId="0" xfId="0" applyFont="1"/>
    <xf numFmtId="0" fontId="15" fillId="0" borderId="0" xfId="0" applyFont="1"/>
    <xf numFmtId="0" fontId="15" fillId="0" borderId="0" xfId="0" applyFont="1" applyAlignment="1">
      <alignment horizontal="left"/>
    </xf>
    <xf numFmtId="0" fontId="15" fillId="0" borderId="0" xfId="0" applyFont="1" applyAlignment="1">
      <alignment vertical="center"/>
    </xf>
    <xf numFmtId="0" fontId="15" fillId="6" borderId="0" xfId="0" quotePrefix="1" applyFont="1" applyFill="1" applyAlignment="1">
      <alignment horizontal="center"/>
    </xf>
    <xf numFmtId="0" fontId="15" fillId="5" borderId="0" xfId="0" quotePrefix="1" applyFont="1" applyFill="1" applyAlignment="1">
      <alignment horizontal="center"/>
    </xf>
    <xf numFmtId="0" fontId="16" fillId="0" borderId="0" xfId="0" applyFont="1" applyAlignment="1">
      <alignment horizontal="left" vertical="center"/>
    </xf>
    <xf numFmtId="0" fontId="15" fillId="0" borderId="0" xfId="0" applyFont="1" applyAlignment="1">
      <alignment horizontal="center"/>
    </xf>
    <xf numFmtId="168" fontId="15" fillId="6" borderId="5" xfId="0" applyNumberFormat="1" applyFont="1" applyFill="1" applyBorder="1" applyAlignment="1" applyProtection="1">
      <alignment horizontal="center"/>
      <protection locked="0"/>
    </xf>
    <xf numFmtId="168" fontId="15" fillId="5" borderId="5" xfId="0" applyNumberFormat="1" applyFont="1" applyFill="1" applyBorder="1" applyAlignment="1">
      <alignment horizontal="center"/>
    </xf>
    <xf numFmtId="165" fontId="15" fillId="0" borderId="0" xfId="0" applyNumberFormat="1" applyFont="1" applyAlignment="1">
      <alignment horizontal="left"/>
    </xf>
    <xf numFmtId="4" fontId="15" fillId="6" borderId="5" xfId="0" applyNumberFormat="1" applyFont="1" applyFill="1" applyBorder="1" applyAlignment="1" applyProtection="1">
      <alignment horizontal="center"/>
      <protection locked="0"/>
    </xf>
    <xf numFmtId="169" fontId="15" fillId="0" borderId="0" xfId="0" applyNumberFormat="1" applyFont="1"/>
    <xf numFmtId="0" fontId="19" fillId="0" borderId="0" xfId="0" applyFont="1" applyAlignment="1">
      <alignment horizontal="left"/>
    </xf>
    <xf numFmtId="165" fontId="19" fillId="0" borderId="0" xfId="0" applyNumberFormat="1" applyFont="1" applyAlignment="1">
      <alignment horizontal="center"/>
    </xf>
    <xf numFmtId="169" fontId="15" fillId="6" borderId="5" xfId="0" applyNumberFormat="1" applyFont="1" applyFill="1" applyBorder="1" applyAlignment="1" applyProtection="1">
      <alignment horizontal="center"/>
      <protection locked="0"/>
    </xf>
    <xf numFmtId="171" fontId="10" fillId="0" borderId="0" xfId="0" applyNumberFormat="1" applyFont="1" applyAlignment="1">
      <alignment horizontal="center"/>
    </xf>
    <xf numFmtId="0" fontId="10" fillId="0" borderId="0" xfId="0" applyFont="1" applyAlignment="1">
      <alignment horizontal="center"/>
    </xf>
    <xf numFmtId="171" fontId="10" fillId="0" borderId="0" xfId="0" applyNumberFormat="1" applyFont="1"/>
    <xf numFmtId="0" fontId="20" fillId="0" borderId="0" xfId="0" applyFont="1"/>
    <xf numFmtId="171" fontId="20" fillId="0" borderId="12" xfId="0" applyNumberFormat="1" applyFont="1" applyBorder="1"/>
    <xf numFmtId="171" fontId="20" fillId="0" borderId="14" xfId="0" applyNumberFormat="1" applyFont="1" applyBorder="1"/>
    <xf numFmtId="171" fontId="20" fillId="0" borderId="15" xfId="0" applyNumberFormat="1" applyFont="1" applyBorder="1" applyAlignment="1">
      <alignment horizontal="center" textRotation="90"/>
    </xf>
    <xf numFmtId="0" fontId="20" fillId="0" borderId="16" xfId="0" applyFont="1" applyBorder="1" applyAlignment="1">
      <alignment horizontal="center" textRotation="90"/>
    </xf>
    <xf numFmtId="171" fontId="20" fillId="0" borderId="19" xfId="0" applyNumberFormat="1" applyFont="1" applyBorder="1" applyAlignment="1">
      <alignment textRotation="90"/>
    </xf>
    <xf numFmtId="171" fontId="20" fillId="0" borderId="20" xfId="0" applyNumberFormat="1" applyFont="1" applyBorder="1" applyAlignment="1">
      <alignment textRotation="90"/>
    </xf>
    <xf numFmtId="171" fontId="20" fillId="10" borderId="15" xfId="0" applyNumberFormat="1" applyFont="1" applyFill="1" applyBorder="1" applyAlignment="1">
      <alignment textRotation="90"/>
    </xf>
    <xf numFmtId="0" fontId="20" fillId="10" borderId="20" xfId="0" applyFont="1" applyFill="1" applyBorder="1" applyAlignment="1">
      <alignment textRotation="90"/>
    </xf>
    <xf numFmtId="171" fontId="20" fillId="10" borderId="20" xfId="0" applyNumberFormat="1" applyFont="1" applyFill="1" applyBorder="1" applyAlignment="1">
      <alignment textRotation="90"/>
    </xf>
    <xf numFmtId="171" fontId="20" fillId="7" borderId="15" xfId="0" applyNumberFormat="1" applyFont="1" applyFill="1" applyBorder="1" applyAlignment="1">
      <alignment textRotation="90"/>
    </xf>
    <xf numFmtId="171" fontId="20" fillId="7" borderId="16" xfId="0" applyNumberFormat="1" applyFont="1" applyFill="1" applyBorder="1" applyAlignment="1">
      <alignment textRotation="90"/>
    </xf>
    <xf numFmtId="171" fontId="20" fillId="7" borderId="20" xfId="0" applyNumberFormat="1" applyFont="1" applyFill="1" applyBorder="1" applyAlignment="1">
      <alignment textRotation="90"/>
    </xf>
    <xf numFmtId="171" fontId="21" fillId="10" borderId="16" xfId="0" applyNumberFormat="1" applyFont="1" applyFill="1" applyBorder="1" applyAlignment="1">
      <alignment textRotation="90"/>
    </xf>
    <xf numFmtId="0" fontId="20" fillId="7" borderId="21" xfId="0" applyFont="1" applyFill="1" applyBorder="1" applyAlignment="1">
      <alignment textRotation="90"/>
    </xf>
    <xf numFmtId="0" fontId="20" fillId="7" borderId="20" xfId="0" applyFont="1" applyFill="1" applyBorder="1" applyAlignment="1">
      <alignment textRotation="90"/>
    </xf>
    <xf numFmtId="0" fontId="20" fillId="7" borderId="15" xfId="0" applyFont="1" applyFill="1" applyBorder="1" applyAlignment="1">
      <alignment textRotation="90"/>
    </xf>
    <xf numFmtId="0" fontId="20" fillId="0" borderId="0" xfId="0" applyFont="1" applyAlignment="1">
      <alignment textRotation="90"/>
    </xf>
    <xf numFmtId="171" fontId="22" fillId="0" borderId="21" xfId="0" applyNumberFormat="1" applyFont="1" applyBorder="1"/>
    <xf numFmtId="0" fontId="22" fillId="11" borderId="22" xfId="0" applyFont="1" applyFill="1" applyBorder="1" applyAlignment="1">
      <alignment vertical="center" wrapText="1"/>
    </xf>
    <xf numFmtId="171" fontId="22" fillId="0" borderId="22" xfId="0" applyNumberFormat="1" applyFont="1" applyBorder="1"/>
    <xf numFmtId="171" fontId="22" fillId="0" borderId="23" xfId="0" applyNumberFormat="1" applyFont="1" applyBorder="1" applyAlignment="1">
      <alignment horizontal="center" vertical="center" wrapText="1"/>
    </xf>
    <xf numFmtId="172" fontId="22" fillId="0" borderId="24" xfId="0" applyNumberFormat="1" applyFont="1" applyBorder="1" applyAlignment="1">
      <alignment horizontal="center" vertical="center" wrapText="1"/>
    </xf>
    <xf numFmtId="0" fontId="22" fillId="0" borderId="24" xfId="0" applyFont="1" applyBorder="1" applyAlignment="1">
      <alignment horizontal="center" vertical="center" wrapText="1"/>
    </xf>
    <xf numFmtId="172" fontId="22" fillId="9" borderId="25" xfId="0" applyNumberFormat="1" applyFont="1" applyFill="1" applyBorder="1" applyAlignment="1" applyProtection="1">
      <alignment vertical="center" wrapText="1"/>
      <protection locked="0"/>
    </xf>
    <xf numFmtId="171" fontId="22" fillId="0" borderId="26" xfId="0" applyNumberFormat="1" applyFont="1" applyBorder="1"/>
    <xf numFmtId="171" fontId="22" fillId="0" borderId="23" xfId="0" applyNumberFormat="1" applyFont="1" applyBorder="1"/>
    <xf numFmtId="1" fontId="22" fillId="0" borderId="26" xfId="0" applyNumberFormat="1" applyFont="1" applyBorder="1"/>
    <xf numFmtId="171" fontId="22" fillId="0" borderId="24" xfId="0" applyNumberFormat="1" applyFont="1" applyBorder="1"/>
    <xf numFmtId="172" fontId="22" fillId="9" borderId="25" xfId="0" applyNumberFormat="1" applyFont="1" applyFill="1" applyBorder="1" applyAlignment="1">
      <alignment vertical="center" wrapText="1"/>
    </xf>
    <xf numFmtId="0" fontId="22" fillId="0" borderId="23" xfId="0" applyFont="1" applyBorder="1"/>
    <xf numFmtId="173" fontId="22" fillId="0" borderId="23" xfId="0" applyNumberFormat="1" applyFont="1" applyBorder="1"/>
    <xf numFmtId="173" fontId="22" fillId="0" borderId="26" xfId="0" applyNumberFormat="1" applyFont="1" applyBorder="1"/>
    <xf numFmtId="0" fontId="22" fillId="0" borderId="0" xfId="0" applyFont="1"/>
    <xf numFmtId="0" fontId="22" fillId="11" borderId="26" xfId="0" applyFont="1" applyFill="1" applyBorder="1" applyAlignment="1">
      <alignment vertical="center" wrapText="1"/>
    </xf>
    <xf numFmtId="0" fontId="20" fillId="8" borderId="27" xfId="0" applyFont="1" applyFill="1" applyBorder="1" applyAlignment="1">
      <alignment vertical="center" wrapText="1"/>
    </xf>
    <xf numFmtId="0" fontId="20" fillId="12" borderId="28" xfId="0" applyFont="1" applyFill="1" applyBorder="1" applyAlignment="1">
      <alignment vertical="center" wrapText="1"/>
    </xf>
    <xf numFmtId="171" fontId="20" fillId="8" borderId="29" xfId="0" applyNumberFormat="1" applyFont="1" applyFill="1" applyBorder="1" applyAlignment="1">
      <alignment vertical="center" wrapText="1"/>
    </xf>
    <xf numFmtId="171" fontId="20" fillId="8" borderId="30" xfId="0" applyNumberFormat="1" applyFont="1" applyFill="1" applyBorder="1" applyAlignment="1">
      <alignment horizontal="center" vertical="center" wrapText="1"/>
    </xf>
    <xf numFmtId="172" fontId="20" fillId="8" borderId="31" xfId="0" applyNumberFormat="1" applyFont="1" applyFill="1" applyBorder="1" applyAlignment="1">
      <alignment horizontal="center" vertical="center" wrapText="1"/>
    </xf>
    <xf numFmtId="171" fontId="20" fillId="8" borderId="32" xfId="0" applyNumberFormat="1" applyFont="1" applyFill="1" applyBorder="1" applyAlignment="1">
      <alignment vertical="center" wrapText="1"/>
    </xf>
    <xf numFmtId="172" fontId="20" fillId="8" borderId="32" xfId="0" applyNumberFormat="1" applyFont="1" applyFill="1" applyBorder="1" applyAlignment="1">
      <alignment vertical="center" wrapText="1"/>
    </xf>
    <xf numFmtId="171" fontId="20" fillId="8" borderId="28" xfId="0" applyNumberFormat="1" applyFont="1" applyFill="1" applyBorder="1"/>
    <xf numFmtId="171" fontId="20" fillId="8" borderId="30" xfId="0" applyNumberFormat="1" applyFont="1" applyFill="1" applyBorder="1"/>
    <xf numFmtId="1" fontId="20" fillId="8" borderId="28" xfId="0" applyNumberFormat="1" applyFont="1" applyFill="1" applyBorder="1"/>
    <xf numFmtId="171" fontId="20" fillId="8" borderId="31" xfId="0" applyNumberFormat="1" applyFont="1" applyFill="1" applyBorder="1"/>
    <xf numFmtId="0" fontId="20" fillId="8" borderId="30" xfId="0" applyFont="1" applyFill="1" applyBorder="1"/>
    <xf numFmtId="173" fontId="20" fillId="8" borderId="30" xfId="0" applyNumberFormat="1" applyFont="1" applyFill="1" applyBorder="1"/>
    <xf numFmtId="173" fontId="20" fillId="8" borderId="28" xfId="0" applyNumberFormat="1" applyFont="1" applyFill="1" applyBorder="1"/>
    <xf numFmtId="171" fontId="9" fillId="0" borderId="0" xfId="0" applyNumberFormat="1" applyFont="1" applyAlignment="1">
      <alignment horizontal="center"/>
    </xf>
    <xf numFmtId="171" fontId="9" fillId="0" borderId="0" xfId="0" applyNumberFormat="1" applyFont="1"/>
    <xf numFmtId="0" fontId="10" fillId="5" borderId="0" xfId="0" applyFont="1" applyFill="1" applyAlignment="1">
      <alignment horizontal="left"/>
    </xf>
    <xf numFmtId="0" fontId="10" fillId="5" borderId="0" xfId="0" applyFont="1" applyFill="1" applyAlignment="1">
      <alignment horizontal="center"/>
    </xf>
    <xf numFmtId="165" fontId="10" fillId="5" borderId="0" xfId="0" applyNumberFormat="1" applyFont="1" applyFill="1" applyAlignment="1">
      <alignment horizontal="left"/>
    </xf>
    <xf numFmtId="169" fontId="10" fillId="5" borderId="0" xfId="0" applyNumberFormat="1" applyFont="1" applyFill="1"/>
    <xf numFmtId="165" fontId="17" fillId="5" borderId="0" xfId="0" applyNumberFormat="1" applyFont="1" applyFill="1" applyAlignment="1">
      <alignment horizontal="center"/>
    </xf>
    <xf numFmtId="0" fontId="17" fillId="5" borderId="0" xfId="0" applyFont="1" applyFill="1" applyAlignment="1">
      <alignment horizontal="left"/>
    </xf>
    <xf numFmtId="9" fontId="17" fillId="5" borderId="0" xfId="7" applyFont="1" applyFill="1" applyBorder="1" applyAlignment="1" applyProtection="1">
      <alignment horizontal="center"/>
    </xf>
    <xf numFmtId="0" fontId="15" fillId="5" borderId="0" xfId="0" applyFont="1" applyFill="1" applyAlignment="1">
      <alignment horizontal="right"/>
    </xf>
    <xf numFmtId="0" fontId="15" fillId="5" borderId="0" xfId="0" applyFont="1" applyFill="1" applyAlignment="1">
      <alignment horizontal="center"/>
    </xf>
    <xf numFmtId="1" fontId="15" fillId="5" borderId="0" xfId="0" applyNumberFormat="1" applyFont="1" applyFill="1" applyAlignment="1" applyProtection="1">
      <alignment horizontal="center" vertical="center"/>
      <protection locked="0"/>
    </xf>
    <xf numFmtId="0" fontId="15" fillId="5" borderId="0" xfId="0" applyFont="1" applyFill="1" applyAlignment="1">
      <alignment vertical="center"/>
    </xf>
    <xf numFmtId="0" fontId="15" fillId="5" borderId="0" xfId="0" applyFont="1" applyFill="1" applyAlignment="1">
      <alignment horizontal="right" vertical="center"/>
    </xf>
    <xf numFmtId="0" fontId="19" fillId="5" borderId="0" xfId="0" applyFont="1" applyFill="1" applyAlignment="1">
      <alignment horizontal="left"/>
    </xf>
    <xf numFmtId="0" fontId="19" fillId="5" borderId="0" xfId="0" applyFont="1" applyFill="1"/>
    <xf numFmtId="169" fontId="19" fillId="5" borderId="0" xfId="0" applyNumberFormat="1" applyFont="1" applyFill="1" applyAlignment="1">
      <alignment vertical="center" wrapText="1"/>
    </xf>
    <xf numFmtId="0" fontId="19" fillId="5" borderId="0" xfId="0" applyFont="1" applyFill="1" applyAlignment="1">
      <alignment vertical="center" wrapText="1"/>
    </xf>
    <xf numFmtId="14" fontId="15" fillId="6" borderId="1" xfId="0" applyNumberFormat="1" applyFont="1" applyFill="1" applyBorder="1" applyAlignment="1" applyProtection="1">
      <alignment horizontal="center" vertical="center"/>
      <protection locked="0"/>
    </xf>
    <xf numFmtId="14" fontId="15" fillId="6" borderId="5" xfId="0" applyNumberFormat="1" applyFont="1" applyFill="1" applyBorder="1" applyAlignment="1" applyProtection="1">
      <alignment horizontal="center" vertical="center"/>
      <protection locked="0"/>
    </xf>
    <xf numFmtId="166" fontId="19" fillId="5" borderId="0" xfId="0" applyNumberFormat="1" applyFont="1" applyFill="1" applyAlignment="1">
      <alignment horizontal="left"/>
    </xf>
    <xf numFmtId="0" fontId="15" fillId="5" borderId="0" xfId="0" applyFont="1" applyFill="1"/>
    <xf numFmtId="165" fontId="15" fillId="5" borderId="0" xfId="0" applyNumberFormat="1" applyFont="1" applyFill="1" applyAlignment="1" applyProtection="1">
      <alignment horizontal="right"/>
      <protection hidden="1"/>
    </xf>
    <xf numFmtId="167" fontId="15" fillId="5" borderId="0" xfId="0" applyNumberFormat="1" applyFont="1" applyFill="1"/>
    <xf numFmtId="0" fontId="23" fillId="5" borderId="0" xfId="0" applyFont="1" applyFill="1" applyAlignment="1">
      <alignment horizontal="center" vertical="center" wrapText="1"/>
    </xf>
    <xf numFmtId="166" fontId="19" fillId="6" borderId="1" xfId="0" applyNumberFormat="1" applyFont="1" applyFill="1" applyBorder="1" applyAlignment="1" applyProtection="1">
      <alignment horizontal="left"/>
      <protection locked="0"/>
    </xf>
    <xf numFmtId="0" fontId="19" fillId="6" borderId="1" xfId="0" applyFont="1" applyFill="1" applyBorder="1" applyAlignment="1" applyProtection="1">
      <alignment horizontal="left"/>
      <protection locked="0"/>
    </xf>
    <xf numFmtId="0" fontId="15" fillId="13" borderId="5" xfId="0" applyFont="1" applyFill="1" applyBorder="1" applyAlignment="1">
      <alignment horizontal="center" vertical="center"/>
    </xf>
    <xf numFmtId="0" fontId="10" fillId="5" borderId="0" xfId="0" applyFont="1" applyFill="1" applyAlignment="1">
      <alignment horizontal="left" indent="1"/>
    </xf>
    <xf numFmtId="0" fontId="15" fillId="5" borderId="0" xfId="0" applyFont="1" applyFill="1" applyAlignment="1" applyProtection="1">
      <alignment horizontal="left" vertical="center"/>
      <protection locked="0"/>
    </xf>
    <xf numFmtId="0" fontId="15" fillId="5" borderId="0" xfId="0" applyFont="1" applyFill="1" applyAlignment="1">
      <alignment horizontal="center" vertical="center"/>
    </xf>
    <xf numFmtId="171" fontId="20" fillId="14" borderId="20" xfId="0" applyNumberFormat="1" applyFont="1" applyFill="1" applyBorder="1" applyAlignment="1">
      <alignment textRotation="90"/>
    </xf>
    <xf numFmtId="171" fontId="22" fillId="15" borderId="26" xfId="0" applyNumberFormat="1" applyFont="1" applyFill="1" applyBorder="1"/>
    <xf numFmtId="0" fontId="28"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wrapText="1"/>
    </xf>
    <xf numFmtId="0" fontId="25" fillId="0" borderId="45"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0" xfId="0" applyFont="1" applyAlignment="1">
      <alignment vertical="center"/>
    </xf>
    <xf numFmtId="0" fontId="25" fillId="0" borderId="24"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9"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52" xfId="0" applyFont="1" applyBorder="1" applyAlignment="1">
      <alignment horizontal="center" vertical="center" wrapText="1"/>
    </xf>
    <xf numFmtId="0" fontId="26" fillId="0" borderId="49" xfId="0" applyFont="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51" xfId="0" applyFont="1" applyBorder="1" applyAlignment="1">
      <alignment vertical="center" wrapText="1"/>
    </xf>
    <xf numFmtId="0" fontId="25" fillId="0" borderId="47" xfId="0" applyFont="1" applyBorder="1" applyAlignment="1">
      <alignment vertical="center" wrapText="1"/>
    </xf>
    <xf numFmtId="0" fontId="25" fillId="0" borderId="25" xfId="0" applyFont="1" applyBorder="1" applyAlignment="1">
      <alignment vertical="center" wrapText="1"/>
    </xf>
    <xf numFmtId="0" fontId="25" fillId="0" borderId="54" xfId="0" applyFont="1" applyBorder="1" applyAlignment="1">
      <alignment vertical="center" wrapText="1"/>
    </xf>
    <xf numFmtId="0" fontId="25" fillId="0" borderId="32" xfId="0" applyFont="1" applyBorder="1" applyAlignment="1">
      <alignment vertical="center" wrapText="1"/>
    </xf>
    <xf numFmtId="0" fontId="25" fillId="0" borderId="60"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10" xfId="0" applyFont="1" applyBorder="1" applyAlignment="1">
      <alignment horizontal="center" vertical="center" wrapText="1"/>
    </xf>
    <xf numFmtId="165" fontId="10" fillId="6" borderId="5" xfId="0" applyNumberFormat="1" applyFont="1" applyFill="1" applyBorder="1" applyAlignment="1" applyProtection="1">
      <alignment horizontal="center"/>
      <protection locked="0"/>
    </xf>
    <xf numFmtId="165" fontId="32" fillId="5" borderId="0" xfId="0" applyNumberFormat="1" applyFont="1" applyFill="1" applyAlignment="1">
      <alignment horizontal="left"/>
    </xf>
    <xf numFmtId="0" fontId="32" fillId="5" borderId="0" xfId="0" applyFont="1" applyFill="1" applyAlignment="1">
      <alignment horizontal="left"/>
    </xf>
    <xf numFmtId="0" fontId="32" fillId="0" borderId="0" xfId="0" applyFont="1"/>
    <xf numFmtId="165" fontId="32" fillId="5" borderId="0" xfId="0" applyNumberFormat="1" applyFont="1" applyFill="1" applyAlignment="1">
      <alignment horizontal="center"/>
    </xf>
    <xf numFmtId="0" fontId="10" fillId="5" borderId="42" xfId="0" applyFont="1" applyFill="1" applyBorder="1" applyAlignment="1">
      <alignment horizontal="center"/>
    </xf>
    <xf numFmtId="168" fontId="32" fillId="5" borderId="42" xfId="0" applyNumberFormat="1" applyFont="1" applyFill="1" applyBorder="1" applyAlignment="1">
      <alignment horizontal="center"/>
    </xf>
    <xf numFmtId="165" fontId="32" fillId="5" borderId="42" xfId="0" applyNumberFormat="1" applyFont="1" applyFill="1" applyBorder="1" applyAlignment="1">
      <alignment horizontal="center"/>
    </xf>
    <xf numFmtId="169" fontId="32" fillId="5" borderId="42" xfId="0" applyNumberFormat="1" applyFont="1" applyFill="1" applyBorder="1" applyAlignment="1">
      <alignment horizontal="center"/>
    </xf>
    <xf numFmtId="165" fontId="24" fillId="5" borderId="42" xfId="0" applyNumberFormat="1" applyFont="1" applyFill="1" applyBorder="1" applyAlignment="1">
      <alignment horizontal="center"/>
    </xf>
    <xf numFmtId="9" fontId="24" fillId="5" borderId="42" xfId="7" applyFont="1" applyFill="1" applyBorder="1" applyAlignment="1" applyProtection="1">
      <alignment horizontal="center"/>
    </xf>
    <xf numFmtId="165" fontId="10" fillId="16" borderId="5" xfId="0" applyNumberFormat="1" applyFont="1" applyFill="1" applyBorder="1" applyAlignment="1" applyProtection="1">
      <alignment horizontal="center"/>
      <protection locked="0"/>
    </xf>
    <xf numFmtId="165" fontId="10" fillId="16" borderId="36" xfId="0" applyNumberFormat="1" applyFont="1" applyFill="1" applyBorder="1" applyAlignment="1" applyProtection="1">
      <alignment horizontal="center"/>
      <protection locked="0"/>
    </xf>
    <xf numFmtId="165" fontId="10" fillId="16" borderId="4" xfId="0" applyNumberFormat="1" applyFont="1" applyFill="1" applyBorder="1" applyAlignment="1" applyProtection="1">
      <alignment horizontal="center"/>
      <protection locked="0"/>
    </xf>
    <xf numFmtId="165" fontId="10" fillId="16" borderId="7" xfId="0" applyNumberFormat="1" applyFont="1" applyFill="1" applyBorder="1" applyAlignment="1" applyProtection="1">
      <alignment horizontal="center"/>
      <protection locked="0"/>
    </xf>
    <xf numFmtId="165" fontId="32" fillId="5" borderId="66" xfId="0" applyNumberFormat="1" applyFont="1" applyFill="1" applyBorder="1" applyAlignment="1">
      <alignment horizontal="center"/>
    </xf>
    <xf numFmtId="165" fontId="32" fillId="5" borderId="65" xfId="0" applyNumberFormat="1" applyFont="1" applyFill="1" applyBorder="1" applyAlignment="1">
      <alignment horizontal="center"/>
    </xf>
    <xf numFmtId="165" fontId="10" fillId="6" borderId="4" xfId="0" applyNumberFormat="1" applyFont="1" applyFill="1" applyBorder="1" applyAlignment="1" applyProtection="1">
      <alignment horizontal="center"/>
      <protection locked="0"/>
    </xf>
    <xf numFmtId="165" fontId="17" fillId="5" borderId="66" xfId="0" applyNumberFormat="1" applyFont="1" applyFill="1" applyBorder="1" applyAlignment="1">
      <alignment horizontal="center"/>
    </xf>
    <xf numFmtId="165" fontId="17" fillId="5" borderId="65" xfId="0" applyNumberFormat="1" applyFont="1" applyFill="1" applyBorder="1" applyAlignment="1">
      <alignment horizontal="center"/>
    </xf>
    <xf numFmtId="9" fontId="17" fillId="5" borderId="64" xfId="7" applyFont="1" applyFill="1" applyBorder="1" applyAlignment="1" applyProtection="1">
      <alignment horizontal="center"/>
    </xf>
    <xf numFmtId="0" fontId="18" fillId="5" borderId="0" xfId="0" applyFont="1" applyFill="1" applyAlignment="1">
      <alignment horizontal="left"/>
    </xf>
    <xf numFmtId="0" fontId="15" fillId="6" borderId="5" xfId="0" applyFont="1" applyFill="1" applyBorder="1" applyAlignment="1" applyProtection="1">
      <alignment horizontal="center"/>
      <protection locked="0"/>
    </xf>
    <xf numFmtId="0" fontId="15" fillId="5" borderId="0" xfId="0" applyFont="1" applyFill="1" applyAlignment="1" applyProtection="1">
      <alignment horizontal="center"/>
      <protection hidden="1"/>
    </xf>
    <xf numFmtId="167" fontId="15" fillId="5" borderId="0" xfId="0" applyNumberFormat="1" applyFont="1" applyFill="1" applyAlignment="1">
      <alignment horizontal="left"/>
    </xf>
    <xf numFmtId="0" fontId="15" fillId="5" borderId="0" xfId="0" applyFont="1" applyFill="1" applyAlignment="1">
      <alignment horizontal="left"/>
    </xf>
    <xf numFmtId="4" fontId="15" fillId="6" borderId="11" xfId="0" applyNumberFormat="1" applyFont="1" applyFill="1" applyBorder="1" applyAlignment="1" applyProtection="1">
      <alignment horizontal="center"/>
      <protection locked="0"/>
    </xf>
    <xf numFmtId="9" fontId="10" fillId="16" borderId="5" xfId="7" applyFont="1" applyFill="1" applyBorder="1" applyAlignment="1" applyProtection="1">
      <alignment horizontal="center"/>
      <protection locked="0"/>
    </xf>
    <xf numFmtId="9" fontId="10" fillId="16" borderId="36" xfId="7" applyFont="1" applyFill="1" applyBorder="1" applyAlignment="1" applyProtection="1">
      <alignment horizontal="center"/>
      <protection locked="0"/>
    </xf>
    <xf numFmtId="9" fontId="32" fillId="5" borderId="0" xfId="7" applyFont="1" applyFill="1" applyBorder="1" applyAlignment="1" applyProtection="1">
      <alignment horizontal="center"/>
    </xf>
    <xf numFmtId="165" fontId="32" fillId="5" borderId="44" xfId="0" applyNumberFormat="1" applyFont="1" applyFill="1" applyBorder="1" applyAlignment="1">
      <alignment horizontal="center"/>
    </xf>
    <xf numFmtId="170" fontId="32" fillId="5" borderId="0" xfId="0" applyNumberFormat="1" applyFont="1" applyFill="1" applyAlignment="1" applyProtection="1">
      <alignment horizontal="center"/>
      <protection locked="0"/>
    </xf>
    <xf numFmtId="168" fontId="10" fillId="6" borderId="5" xfId="0" applyNumberFormat="1" applyFont="1" applyFill="1" applyBorder="1" applyAlignment="1" applyProtection="1">
      <alignment horizontal="center"/>
      <protection locked="0"/>
    </xf>
    <xf numFmtId="170" fontId="32" fillId="5" borderId="67" xfId="0" applyNumberFormat="1" applyFont="1" applyFill="1" applyBorder="1" applyAlignment="1" applyProtection="1">
      <alignment horizontal="center"/>
      <protection locked="0"/>
    </xf>
    <xf numFmtId="165" fontId="15" fillId="5" borderId="5" xfId="0" applyNumberFormat="1" applyFont="1" applyFill="1" applyBorder="1" applyAlignment="1">
      <alignment horizontal="center"/>
    </xf>
    <xf numFmtId="165" fontId="15" fillId="6" borderId="5" xfId="0" applyNumberFormat="1" applyFont="1" applyFill="1" applyBorder="1" applyAlignment="1" applyProtection="1">
      <alignment horizontal="center"/>
      <protection locked="0"/>
    </xf>
    <xf numFmtId="165" fontId="15" fillId="0" borderId="0" xfId="0" applyNumberFormat="1" applyFont="1"/>
    <xf numFmtId="177" fontId="15" fillId="6" borderId="5" xfId="0" applyNumberFormat="1" applyFont="1" applyFill="1" applyBorder="1" applyAlignment="1" applyProtection="1">
      <alignment horizontal="center"/>
      <protection locked="0"/>
    </xf>
    <xf numFmtId="177" fontId="19" fillId="0" borderId="0" xfId="0" applyNumberFormat="1" applyFont="1" applyAlignment="1">
      <alignment horizontal="center"/>
    </xf>
    <xf numFmtId="177" fontId="15" fillId="0" borderId="0" xfId="0" applyNumberFormat="1" applyFont="1"/>
    <xf numFmtId="177" fontId="15" fillId="5" borderId="5" xfId="0" applyNumberFormat="1" applyFont="1" applyFill="1" applyBorder="1" applyAlignment="1">
      <alignment horizontal="center"/>
    </xf>
    <xf numFmtId="0" fontId="6" fillId="21" borderId="0" xfId="0" applyFont="1" applyFill="1" applyAlignment="1">
      <alignment vertical="center"/>
    </xf>
    <xf numFmtId="0" fontId="6" fillId="21" borderId="0" xfId="0" applyFont="1" applyFill="1" applyAlignment="1">
      <alignment horizontal="center" vertical="center"/>
    </xf>
    <xf numFmtId="0" fontId="6" fillId="21" borderId="63" xfId="0" applyFont="1" applyFill="1" applyBorder="1" applyAlignment="1">
      <alignment horizontal="center" vertical="center"/>
    </xf>
    <xf numFmtId="0" fontId="33" fillId="0" borderId="0" xfId="0" applyFont="1"/>
    <xf numFmtId="0" fontId="34" fillId="0" borderId="0" xfId="0" applyFont="1" applyAlignment="1">
      <alignment horizontal="left"/>
    </xf>
    <xf numFmtId="0" fontId="34" fillId="0" borderId="0" xfId="0" applyFont="1"/>
    <xf numFmtId="0" fontId="33" fillId="0" borderId="0" xfId="0" applyFont="1" applyAlignment="1">
      <alignment horizontal="left"/>
    </xf>
    <xf numFmtId="169" fontId="33" fillId="0" borderId="0" xfId="0" applyNumberFormat="1" applyFont="1"/>
    <xf numFmtId="176" fontId="33" fillId="0" borderId="0" xfId="0" applyNumberFormat="1" applyFont="1" applyAlignment="1">
      <alignment horizontal="center"/>
    </xf>
    <xf numFmtId="0" fontId="33" fillId="0" borderId="0" xfId="0" applyFont="1" applyAlignment="1">
      <alignment wrapText="1"/>
    </xf>
    <xf numFmtId="0" fontId="35" fillId="0" borderId="0" xfId="0" applyFont="1" applyAlignment="1">
      <alignment horizontal="right"/>
    </xf>
    <xf numFmtId="176" fontId="35" fillId="0" borderId="0" xfId="0" applyNumberFormat="1" applyFont="1" applyAlignment="1">
      <alignment horizontal="center"/>
    </xf>
    <xf numFmtId="0" fontId="35" fillId="0" borderId="0" xfId="0" applyFont="1" applyAlignment="1">
      <alignment horizontal="center"/>
    </xf>
    <xf numFmtId="0" fontId="35" fillId="0" borderId="0" xfId="0" applyFont="1" applyAlignment="1">
      <alignment horizontal="center" wrapText="1"/>
    </xf>
    <xf numFmtId="0" fontId="36" fillId="0" borderId="0" xfId="0" applyFont="1" applyAlignment="1">
      <alignment horizontal="left"/>
    </xf>
    <xf numFmtId="0" fontId="37" fillId="0" borderId="0" xfId="0" applyFont="1"/>
    <xf numFmtId="176" fontId="34" fillId="0" borderId="0" xfId="0" applyNumberFormat="1" applyFont="1" applyAlignment="1">
      <alignment horizontal="center"/>
    </xf>
    <xf numFmtId="0" fontId="34" fillId="0" borderId="0" xfId="0" applyFont="1" applyAlignment="1">
      <alignment wrapText="1"/>
    </xf>
    <xf numFmtId="0" fontId="42" fillId="0" borderId="0" xfId="0" applyFont="1" applyAlignment="1">
      <alignment horizontal="left"/>
    </xf>
    <xf numFmtId="0" fontId="42" fillId="0" borderId="0" xfId="0" applyFont="1"/>
    <xf numFmtId="169" fontId="42" fillId="0" borderId="0" xfId="0" applyNumberFormat="1" applyFont="1"/>
    <xf numFmtId="165" fontId="42" fillId="0" borderId="0" xfId="0" applyNumberFormat="1" applyFont="1"/>
    <xf numFmtId="176" fontId="42" fillId="0" borderId="0" xfId="0" applyNumberFormat="1" applyFont="1" applyAlignment="1">
      <alignment horizontal="center"/>
    </xf>
    <xf numFmtId="0" fontId="42" fillId="0" borderId="0" xfId="0" applyFont="1" applyAlignment="1">
      <alignment wrapText="1"/>
    </xf>
    <xf numFmtId="0" fontId="43" fillId="0" borderId="0" xfId="0" applyFont="1" applyAlignment="1">
      <alignment vertical="top"/>
    </xf>
    <xf numFmtId="0" fontId="44" fillId="0" borderId="0" xfId="0" applyFont="1" applyAlignment="1">
      <alignment vertical="top"/>
    </xf>
    <xf numFmtId="0" fontId="43" fillId="0" borderId="0" xfId="0" applyFont="1"/>
    <xf numFmtId="169" fontId="45" fillId="3" borderId="0" xfId="0" applyNumberFormat="1" applyFont="1" applyFill="1" applyAlignment="1">
      <alignment vertical="top"/>
    </xf>
    <xf numFmtId="0" fontId="45" fillId="3" borderId="0" xfId="0" applyFont="1" applyFill="1" applyAlignment="1">
      <alignment vertical="top"/>
    </xf>
    <xf numFmtId="176" fontId="43" fillId="0" borderId="0" xfId="0" applyNumberFormat="1" applyFont="1" applyAlignment="1">
      <alignment horizontal="center" vertical="top"/>
    </xf>
    <xf numFmtId="169" fontId="43" fillId="5" borderId="6" xfId="3" applyNumberFormat="1" applyFont="1" applyFill="1" applyBorder="1" applyAlignment="1" applyProtection="1">
      <alignment horizontal="right"/>
    </xf>
    <xf numFmtId="174" fontId="43" fillId="0" borderId="0" xfId="0" applyNumberFormat="1" applyFont="1" applyAlignment="1">
      <alignment horizontal="left"/>
    </xf>
    <xf numFmtId="169" fontId="43" fillId="0" borderId="0" xfId="0" applyNumberFormat="1" applyFont="1"/>
    <xf numFmtId="176" fontId="43" fillId="0" borderId="0" xfId="0" applyNumberFormat="1" applyFont="1" applyAlignment="1">
      <alignment horizontal="center"/>
    </xf>
    <xf numFmtId="0" fontId="43" fillId="0" borderId="0" xfId="0" applyFont="1" applyAlignment="1">
      <alignment wrapText="1"/>
    </xf>
    <xf numFmtId="0" fontId="43" fillId="0" borderId="0" xfId="0" applyFont="1" applyProtection="1">
      <protection hidden="1"/>
    </xf>
    <xf numFmtId="169" fontId="43" fillId="5" borderId="7" xfId="3" applyNumberFormat="1" applyFont="1" applyFill="1" applyBorder="1" applyAlignment="1" applyProtection="1">
      <alignment horizontal="right"/>
    </xf>
    <xf numFmtId="171" fontId="43" fillId="6" borderId="4" xfId="3" applyNumberFormat="1" applyFont="1" applyFill="1" applyBorder="1" applyAlignment="1" applyProtection="1">
      <alignment horizontal="right"/>
    </xf>
    <xf numFmtId="169" fontId="43" fillId="0" borderId="0" xfId="0" applyNumberFormat="1" applyFont="1" applyAlignment="1">
      <alignment horizontal="left"/>
    </xf>
    <xf numFmtId="0" fontId="43" fillId="0" borderId="0" xfId="0" applyFont="1" applyAlignment="1" applyProtection="1">
      <alignment horizontal="left" vertical="top"/>
      <protection hidden="1"/>
    </xf>
    <xf numFmtId="0" fontId="43" fillId="0" borderId="34" xfId="0" applyFont="1" applyBorder="1" applyAlignment="1" applyProtection="1">
      <alignment horizontal="left" vertical="top"/>
      <protection hidden="1"/>
    </xf>
    <xf numFmtId="0" fontId="43" fillId="0" borderId="0" xfId="0" applyFont="1" applyAlignment="1">
      <alignment horizontal="left"/>
    </xf>
    <xf numFmtId="0" fontId="47" fillId="0" borderId="0" xfId="0" applyFont="1"/>
    <xf numFmtId="0" fontId="43" fillId="0" borderId="0" xfId="0" applyFont="1" applyAlignment="1" applyProtection="1">
      <alignment horizontal="left"/>
      <protection hidden="1"/>
    </xf>
    <xf numFmtId="164" fontId="43" fillId="0" borderId="0" xfId="3" applyFont="1" applyAlignment="1" applyProtection="1"/>
    <xf numFmtId="0" fontId="43" fillId="0" borderId="2" xfId="0" applyFont="1" applyBorder="1" applyAlignment="1" applyProtection="1">
      <alignment horizontal="left" vertical="top"/>
      <protection hidden="1"/>
    </xf>
    <xf numFmtId="0" fontId="43" fillId="0" borderId="35" xfId="0" applyFont="1" applyBorder="1" applyAlignment="1" applyProtection="1">
      <alignment horizontal="left" vertical="top"/>
      <protection hidden="1"/>
    </xf>
    <xf numFmtId="171" fontId="40" fillId="0" borderId="3" xfId="3" applyNumberFormat="1" applyFont="1" applyFill="1" applyBorder="1" applyAlignment="1" applyProtection="1">
      <alignment horizontal="right" wrapText="1"/>
    </xf>
    <xf numFmtId="169" fontId="43" fillId="6" borderId="4" xfId="3" applyNumberFormat="1" applyFont="1" applyFill="1" applyBorder="1" applyAlignment="1" applyProtection="1">
      <alignment horizontal="center"/>
    </xf>
    <xf numFmtId="0" fontId="41" fillId="0" borderId="0" xfId="0" applyFont="1"/>
    <xf numFmtId="169" fontId="41" fillId="0" borderId="0" xfId="0" applyNumberFormat="1" applyFont="1"/>
    <xf numFmtId="176" fontId="41" fillId="0" borderId="0" xfId="0" applyNumberFormat="1" applyFont="1" applyAlignment="1">
      <alignment horizontal="center"/>
    </xf>
    <xf numFmtId="0" fontId="41" fillId="0" borderId="0" xfId="0" applyFont="1" applyAlignment="1">
      <alignment wrapText="1"/>
    </xf>
    <xf numFmtId="171" fontId="38" fillId="0" borderId="0" xfId="3" applyNumberFormat="1" applyFont="1" applyFill="1" applyBorder="1" applyAlignment="1" applyProtection="1">
      <alignment horizontal="right" wrapText="1"/>
    </xf>
    <xf numFmtId="0" fontId="48" fillId="3" borderId="0" xfId="0" applyFont="1" applyFill="1"/>
    <xf numFmtId="0" fontId="10" fillId="19" borderId="0" xfId="0" applyFont="1" applyFill="1" applyAlignment="1">
      <alignment horizontal="left"/>
    </xf>
    <xf numFmtId="0" fontId="18" fillId="19" borderId="5" xfId="0" applyFont="1" applyFill="1" applyBorder="1" applyAlignment="1">
      <alignment horizontal="left"/>
    </xf>
    <xf numFmtId="0" fontId="10" fillId="19" borderId="5" xfId="0" applyFont="1" applyFill="1" applyBorder="1" applyAlignment="1">
      <alignment horizontal="center"/>
    </xf>
    <xf numFmtId="0" fontId="10" fillId="19" borderId="36" xfId="0" applyFont="1" applyFill="1" applyBorder="1" applyAlignment="1">
      <alignment horizontal="center"/>
    </xf>
    <xf numFmtId="0" fontId="10" fillId="17" borderId="0" xfId="0" applyFont="1" applyFill="1" applyAlignment="1">
      <alignment horizontal="left"/>
    </xf>
    <xf numFmtId="0" fontId="18" fillId="17" borderId="5" xfId="0" applyFont="1" applyFill="1" applyBorder="1" applyAlignment="1">
      <alignment horizontal="left"/>
    </xf>
    <xf numFmtId="0" fontId="10" fillId="17" borderId="5" xfId="0" applyFont="1" applyFill="1" applyBorder="1" applyAlignment="1">
      <alignment horizontal="center"/>
    </xf>
    <xf numFmtId="0" fontId="10" fillId="17" borderId="36" xfId="0" applyFont="1" applyFill="1" applyBorder="1" applyAlignment="1">
      <alignment horizontal="center"/>
    </xf>
    <xf numFmtId="0" fontId="10" fillId="18" borderId="0" xfId="0" applyFont="1" applyFill="1" applyAlignment="1">
      <alignment horizontal="left"/>
    </xf>
    <xf numFmtId="0" fontId="18" fillId="18" borderId="5" xfId="0" applyFont="1" applyFill="1" applyBorder="1" applyAlignment="1">
      <alignment horizontal="left"/>
    </xf>
    <xf numFmtId="0" fontId="10" fillId="18" borderId="5" xfId="0" applyFont="1" applyFill="1" applyBorder="1" applyAlignment="1">
      <alignment horizontal="center"/>
    </xf>
    <xf numFmtId="0" fontId="10" fillId="18" borderId="36" xfId="0" applyFont="1" applyFill="1" applyBorder="1" applyAlignment="1">
      <alignment horizontal="center"/>
    </xf>
    <xf numFmtId="176" fontId="33" fillId="0" borderId="0" xfId="0" applyNumberFormat="1" applyFont="1" applyAlignment="1">
      <alignment horizontal="right"/>
    </xf>
    <xf numFmtId="176" fontId="35" fillId="0" borderId="0" xfId="0" applyNumberFormat="1" applyFont="1" applyAlignment="1">
      <alignment horizontal="right"/>
    </xf>
    <xf numFmtId="176" fontId="34" fillId="0" borderId="0" xfId="0" applyNumberFormat="1" applyFont="1" applyAlignment="1">
      <alignment horizontal="right"/>
    </xf>
    <xf numFmtId="176" fontId="42" fillId="0" borderId="0" xfId="0" applyNumberFormat="1" applyFont="1" applyAlignment="1">
      <alignment horizontal="right"/>
    </xf>
    <xf numFmtId="176" fontId="43" fillId="0" borderId="0" xfId="0" applyNumberFormat="1" applyFont="1" applyAlignment="1">
      <alignment horizontal="right" vertical="top"/>
    </xf>
    <xf numFmtId="176" fontId="43" fillId="0" borderId="0" xfId="0" applyNumberFormat="1" applyFont="1" applyAlignment="1">
      <alignment horizontal="right"/>
    </xf>
    <xf numFmtId="176" fontId="41" fillId="0" borderId="0" xfId="0" applyNumberFormat="1" applyFont="1" applyAlignment="1">
      <alignment horizontal="right"/>
    </xf>
    <xf numFmtId="171" fontId="33" fillId="0" borderId="0" xfId="0" applyNumberFormat="1" applyFont="1"/>
    <xf numFmtId="171" fontId="42" fillId="0" borderId="0" xfId="0" applyNumberFormat="1" applyFont="1"/>
    <xf numFmtId="171" fontId="45" fillId="3" borderId="0" xfId="0" applyNumberFormat="1" applyFont="1" applyFill="1" applyAlignment="1">
      <alignment vertical="top"/>
    </xf>
    <xf numFmtId="171" fontId="43" fillId="0" borderId="0" xfId="0" applyNumberFormat="1" applyFont="1"/>
    <xf numFmtId="171" fontId="41" fillId="0" borderId="0" xfId="0" applyNumberFormat="1" applyFont="1"/>
    <xf numFmtId="0" fontId="50" fillId="20" borderId="0" xfId="0" applyFont="1" applyFill="1" applyAlignment="1">
      <alignment horizontal="center" vertical="center"/>
    </xf>
    <xf numFmtId="0" fontId="46" fillId="0" borderId="0" xfId="0" applyFont="1"/>
    <xf numFmtId="0" fontId="12" fillId="5" borderId="0" xfId="0" applyFont="1" applyFill="1" applyAlignment="1">
      <alignment horizontal="right"/>
    </xf>
    <xf numFmtId="175" fontId="15" fillId="5" borderId="0" xfId="3" applyNumberFormat="1" applyFont="1" applyFill="1" applyBorder="1" applyAlignment="1" applyProtection="1">
      <alignment horizontal="center"/>
      <protection hidden="1"/>
    </xf>
    <xf numFmtId="0" fontId="40" fillId="0" borderId="0" xfId="4" applyFont="1" applyFill="1" applyBorder="1" applyAlignment="1" applyProtection="1">
      <alignment horizontal="left" vertical="top" wrapText="1"/>
    </xf>
    <xf numFmtId="0" fontId="40" fillId="0" borderId="34" xfId="4" applyFont="1" applyFill="1" applyBorder="1" applyAlignment="1" applyProtection="1">
      <alignment horizontal="left" vertical="top" wrapText="1"/>
    </xf>
    <xf numFmtId="169" fontId="43" fillId="6" borderId="3" xfId="3" applyNumberFormat="1" applyFont="1" applyFill="1" applyBorder="1" applyAlignment="1" applyProtection="1">
      <alignment horizontal="center"/>
    </xf>
    <xf numFmtId="171" fontId="43" fillId="6" borderId="3" xfId="3" applyNumberFormat="1" applyFont="1" applyFill="1" applyBorder="1" applyAlignment="1" applyProtection="1">
      <alignment horizontal="right"/>
    </xf>
    <xf numFmtId="0" fontId="52" fillId="22" borderId="34" xfId="4" applyFont="1" applyFill="1" applyBorder="1" applyAlignment="1" applyProtection="1">
      <alignment horizontal="center" vertical="top" wrapText="1"/>
    </xf>
    <xf numFmtId="0" fontId="52" fillId="22" borderId="0" xfId="4" applyFont="1" applyFill="1" applyBorder="1" applyAlignment="1" applyProtection="1">
      <alignment horizontal="center" vertical="top" wrapText="1"/>
    </xf>
    <xf numFmtId="1" fontId="52" fillId="22" borderId="0" xfId="4" applyNumberFormat="1" applyFont="1" applyFill="1" applyBorder="1" applyAlignment="1" applyProtection="1">
      <alignment horizontal="center" vertical="top" wrapText="1"/>
    </xf>
    <xf numFmtId="0" fontId="52" fillId="22" borderId="8" xfId="4" applyFont="1" applyFill="1" applyBorder="1" applyAlignment="1" applyProtection="1">
      <alignment horizontal="center" vertical="top" wrapText="1"/>
    </xf>
    <xf numFmtId="0" fontId="52" fillId="22" borderId="33" xfId="4" applyFont="1" applyFill="1" applyBorder="1" applyAlignment="1" applyProtection="1">
      <alignment horizontal="center" vertical="top" wrapText="1"/>
    </xf>
    <xf numFmtId="169" fontId="52" fillId="22" borderId="33" xfId="4" applyNumberFormat="1" applyFont="1" applyFill="1" applyBorder="1" applyAlignment="1" applyProtection="1">
      <alignment horizontal="center" vertical="top" wrapText="1"/>
    </xf>
    <xf numFmtId="0" fontId="52" fillId="22" borderId="11" xfId="4" applyFont="1" applyFill="1" applyBorder="1" applyAlignment="1" applyProtection="1">
      <alignment horizontal="center" vertical="top" wrapText="1"/>
    </xf>
    <xf numFmtId="176" fontId="52" fillId="22" borderId="11" xfId="4" applyNumberFormat="1" applyFont="1" applyFill="1" applyBorder="1" applyAlignment="1" applyProtection="1">
      <alignment horizontal="center" vertical="top" wrapText="1"/>
    </xf>
    <xf numFmtId="0" fontId="52" fillId="22" borderId="41" xfId="4" applyFont="1" applyFill="1" applyBorder="1" applyAlignment="1" applyProtection="1">
      <alignment horizontal="center" vertical="center" wrapText="1"/>
      <protection locked="0"/>
    </xf>
    <xf numFmtId="0" fontId="52" fillId="22" borderId="8" xfId="4" applyFont="1" applyFill="1" applyBorder="1" applyAlignment="1" applyProtection="1">
      <alignment horizontal="center" vertical="center" wrapText="1"/>
    </xf>
    <xf numFmtId="0" fontId="42" fillId="0" borderId="0" xfId="0" applyFont="1" applyAlignment="1">
      <alignment vertical="top" wrapText="1"/>
    </xf>
    <xf numFmtId="176" fontId="53" fillId="0" borderId="0" xfId="0" applyNumberFormat="1" applyFont="1" applyAlignment="1">
      <alignment horizontal="right"/>
    </xf>
    <xf numFmtId="169" fontId="34" fillId="0" borderId="0" xfId="0" applyNumberFormat="1" applyFont="1"/>
    <xf numFmtId="171" fontId="34" fillId="0" borderId="0" xfId="0" applyNumberFormat="1" applyFont="1"/>
    <xf numFmtId="0" fontId="41" fillId="0" borderId="0" xfId="0" applyFont="1" applyAlignment="1">
      <alignment horizontal="left" vertical="center"/>
    </xf>
    <xf numFmtId="178" fontId="41" fillId="0" borderId="0" xfId="0" applyNumberFormat="1" applyFont="1" applyAlignment="1">
      <alignment horizontal="left" vertical="center"/>
    </xf>
    <xf numFmtId="1" fontId="41" fillId="5" borderId="0" xfId="0" applyNumberFormat="1" applyFont="1" applyFill="1" applyAlignment="1" applyProtection="1">
      <alignment horizontal="center" vertical="center"/>
      <protection locked="0"/>
    </xf>
    <xf numFmtId="20" fontId="41" fillId="0" borderId="0" xfId="0" applyNumberFormat="1" applyFont="1" applyAlignment="1" applyProtection="1">
      <alignment horizontal="center" vertical="center"/>
      <protection locked="0"/>
    </xf>
    <xf numFmtId="20" fontId="41" fillId="6" borderId="0" xfId="0" applyNumberFormat="1" applyFont="1" applyFill="1" applyAlignment="1">
      <alignment horizontal="center" vertical="center"/>
    </xf>
    <xf numFmtId="169" fontId="41" fillId="6" borderId="0" xfId="0" applyNumberFormat="1" applyFont="1" applyFill="1" applyAlignment="1">
      <alignment horizontal="center" vertical="center"/>
    </xf>
    <xf numFmtId="169" fontId="41" fillId="0" borderId="0" xfId="0" applyNumberFormat="1" applyFont="1" applyAlignment="1" applyProtection="1">
      <alignment horizontal="center" vertical="center"/>
      <protection locked="0"/>
    </xf>
    <xf numFmtId="176" fontId="41" fillId="0" borderId="0" xfId="0" applyNumberFormat="1" applyFont="1" applyAlignment="1">
      <alignment horizontal="center" vertical="center"/>
    </xf>
    <xf numFmtId="20" fontId="41" fillId="0" borderId="0" xfId="0" applyNumberFormat="1" applyFont="1" applyAlignment="1">
      <alignment horizontal="center" vertical="center"/>
    </xf>
    <xf numFmtId="0" fontId="54" fillId="0" borderId="0" xfId="0" applyFont="1" applyAlignment="1" applyProtection="1">
      <alignment vertical="center"/>
      <protection locked="0"/>
    </xf>
    <xf numFmtId="0" fontId="54" fillId="0" borderId="0" xfId="0" applyFont="1" applyAlignment="1" applyProtection="1">
      <alignment vertical="center" shrinkToFit="1"/>
      <protection locked="0"/>
    </xf>
    <xf numFmtId="0" fontId="41" fillId="0" borderId="0" xfId="0" applyFont="1" applyAlignment="1">
      <alignment vertical="center"/>
    </xf>
    <xf numFmtId="178" fontId="41" fillId="0" borderId="0" xfId="0" applyNumberFormat="1" applyFont="1" applyAlignment="1">
      <alignment horizontal="right" vertical="center"/>
    </xf>
    <xf numFmtId="9" fontId="41" fillId="0" borderId="0" xfId="0" applyNumberFormat="1" applyFont="1" applyAlignment="1" applyProtection="1">
      <alignment horizontal="center" vertical="center"/>
      <protection locked="0"/>
    </xf>
    <xf numFmtId="0" fontId="43" fillId="0" borderId="5" xfId="0" applyFont="1" applyBorder="1"/>
    <xf numFmtId="3" fontId="43" fillId="6" borderId="5" xfId="3" applyNumberFormat="1" applyFont="1" applyFill="1" applyBorder="1" applyAlignment="1" applyProtection="1">
      <alignment horizontal="right"/>
    </xf>
    <xf numFmtId="3" fontId="43" fillId="0" borderId="5" xfId="0" applyNumberFormat="1" applyFont="1" applyBorder="1"/>
    <xf numFmtId="3" fontId="40" fillId="22" borderId="5" xfId="3" applyNumberFormat="1" applyFont="1" applyFill="1" applyBorder="1" applyAlignment="1" applyProtection="1">
      <alignment horizontal="right" wrapText="1"/>
    </xf>
    <xf numFmtId="3" fontId="41" fillId="0" borderId="0" xfId="0" applyNumberFormat="1" applyFont="1"/>
    <xf numFmtId="0" fontId="47" fillId="0" borderId="0" xfId="0" applyFont="1" applyAlignment="1">
      <alignment horizontal="left"/>
    </xf>
    <xf numFmtId="0" fontId="55" fillId="0" borderId="0" xfId="0" applyFont="1"/>
    <xf numFmtId="0" fontId="55" fillId="0" borderId="0" xfId="0" applyFont="1" applyAlignment="1">
      <alignment vertical="top"/>
    </xf>
    <xf numFmtId="0" fontId="57" fillId="21" borderId="0" xfId="0" applyFont="1" applyFill="1" applyAlignment="1">
      <alignment horizontal="center" vertical="top" wrapText="1"/>
    </xf>
    <xf numFmtId="0" fontId="58" fillId="0" borderId="0" xfId="0" applyFont="1"/>
    <xf numFmtId="0" fontId="59" fillId="0" borderId="0" xfId="0" applyFont="1" applyAlignment="1">
      <alignment horizontal="justify" vertical="top" wrapText="1"/>
    </xf>
    <xf numFmtId="0" fontId="60" fillId="0" borderId="0" xfId="0" applyFont="1" applyAlignment="1">
      <alignment horizontal="justify" vertical="top" wrapText="1"/>
    </xf>
    <xf numFmtId="0" fontId="43" fillId="0" borderId="0" xfId="0" applyFont="1" applyAlignment="1">
      <alignment horizontal="justify" vertical="top" wrapText="1"/>
    </xf>
    <xf numFmtId="0" fontId="46" fillId="0" borderId="0" xfId="0" applyFont="1" applyAlignment="1">
      <alignment horizontal="justify" vertical="top" wrapText="1"/>
    </xf>
    <xf numFmtId="0" fontId="61" fillId="0" borderId="0" xfId="0" applyFont="1" applyAlignment="1">
      <alignment horizontal="justify" vertical="top" wrapText="1"/>
    </xf>
    <xf numFmtId="0" fontId="62" fillId="0" borderId="0" xfId="0" applyFont="1" applyAlignment="1">
      <alignment horizontal="justify" vertical="top" wrapText="1"/>
    </xf>
    <xf numFmtId="0" fontId="63" fillId="0" borderId="0" xfId="0" applyFont="1"/>
    <xf numFmtId="0" fontId="64" fillId="0" borderId="0" xfId="0" applyFont="1" applyAlignment="1">
      <alignment horizontal="justify" vertical="top" wrapText="1"/>
    </xf>
    <xf numFmtId="0" fontId="65" fillId="0" borderId="0" xfId="0" applyFont="1" applyAlignment="1">
      <alignment horizontal="justify" vertical="top" wrapText="1"/>
    </xf>
    <xf numFmtId="0" fontId="43" fillId="0" borderId="70" xfId="0" applyFont="1" applyBorder="1" applyAlignment="1">
      <alignment vertical="top"/>
    </xf>
    <xf numFmtId="3" fontId="43" fillId="6" borderId="70" xfId="3" applyNumberFormat="1" applyFont="1" applyFill="1" applyBorder="1" applyAlignment="1" applyProtection="1">
      <alignment horizontal="right"/>
    </xf>
    <xf numFmtId="0" fontId="52" fillId="22" borderId="71" xfId="0" applyFont="1" applyFill="1" applyBorder="1" applyAlignment="1">
      <alignment vertical="center"/>
    </xf>
    <xf numFmtId="0" fontId="52" fillId="22" borderId="72" xfId="0" applyFont="1" applyFill="1" applyBorder="1" applyAlignment="1">
      <alignment vertical="center"/>
    </xf>
    <xf numFmtId="0" fontId="42" fillId="0" borderId="72" xfId="0" applyFont="1" applyBorder="1" applyAlignment="1">
      <alignment vertical="center"/>
    </xf>
    <xf numFmtId="0" fontId="52" fillId="22" borderId="72" xfId="4" applyFont="1" applyFill="1" applyBorder="1" applyAlignment="1" applyProtection="1">
      <alignment horizontal="center" vertical="center" wrapText="1"/>
    </xf>
    <xf numFmtId="0" fontId="56" fillId="22" borderId="72" xfId="4" applyFont="1" applyFill="1" applyBorder="1" applyAlignment="1" applyProtection="1">
      <alignment horizontal="center" vertical="center"/>
    </xf>
    <xf numFmtId="3" fontId="43" fillId="0" borderId="75" xfId="0" applyNumberFormat="1" applyFont="1" applyBorder="1" applyAlignment="1">
      <alignment horizontal="left"/>
    </xf>
    <xf numFmtId="166" fontId="51" fillId="22" borderId="79" xfId="4" applyNumberFormat="1" applyFont="1" applyFill="1" applyBorder="1" applyAlignment="1" applyProtection="1">
      <alignment horizontal="left" vertical="center"/>
    </xf>
    <xf numFmtId="169" fontId="51" fillId="22" borderId="81" xfId="4" applyNumberFormat="1" applyFont="1" applyFill="1" applyBorder="1" applyAlignment="1" applyProtection="1">
      <alignment horizontal="center" vertical="center" wrapText="1"/>
    </xf>
    <xf numFmtId="0" fontId="51" fillId="22" borderId="83" xfId="4" applyFont="1" applyFill="1" applyBorder="1" applyAlignment="1" applyProtection="1">
      <alignment horizontal="center" vertical="center" wrapText="1"/>
    </xf>
    <xf numFmtId="176" fontId="51" fillId="22" borderId="81" xfId="4" applyNumberFormat="1" applyFont="1" applyFill="1" applyBorder="1" applyAlignment="1" applyProtection="1">
      <alignment horizontal="center" vertical="center" wrapText="1"/>
    </xf>
    <xf numFmtId="0" fontId="51" fillId="22" borderId="82" xfId="4" applyFont="1" applyFill="1" applyBorder="1" applyAlignment="1" applyProtection="1">
      <alignment horizontal="center" vertical="center" wrapText="1"/>
    </xf>
    <xf numFmtId="0" fontId="52" fillId="22" borderId="85" xfId="4" applyFont="1" applyFill="1" applyBorder="1" applyAlignment="1" applyProtection="1">
      <alignment horizontal="center" vertical="top" wrapText="1"/>
    </xf>
    <xf numFmtId="0" fontId="52" fillId="22" borderId="86" xfId="4" applyFont="1" applyFill="1" applyBorder="1" applyAlignment="1" applyProtection="1">
      <alignment horizontal="center" vertical="center" wrapText="1"/>
    </xf>
    <xf numFmtId="0" fontId="41" fillId="0" borderId="87" xfId="0" applyFont="1" applyBorder="1" applyAlignment="1">
      <alignment horizontal="left" vertical="center"/>
    </xf>
    <xf numFmtId="20" fontId="41" fillId="0" borderId="44" xfId="0" applyNumberFormat="1" applyFont="1" applyBorder="1" applyAlignment="1">
      <alignment horizontal="center" vertical="center"/>
    </xf>
    <xf numFmtId="0" fontId="38" fillId="22" borderId="88" xfId="4" applyFont="1" applyFill="1" applyBorder="1" applyAlignment="1" applyProtection="1">
      <alignment horizontal="left" vertical="center" wrapText="1"/>
    </xf>
    <xf numFmtId="0" fontId="38" fillId="22" borderId="89" xfId="4" applyFont="1" applyFill="1" applyBorder="1" applyAlignment="1" applyProtection="1">
      <alignment horizontal="left" vertical="center" wrapText="1"/>
    </xf>
    <xf numFmtId="0" fontId="38" fillId="22" borderId="89" xfId="4" applyFont="1" applyFill="1" applyBorder="1" applyAlignment="1" applyProtection="1">
      <alignment horizontal="center" vertical="center" wrapText="1"/>
    </xf>
    <xf numFmtId="169" fontId="38" fillId="22" borderId="89" xfId="4" applyNumberFormat="1" applyFont="1" applyFill="1" applyBorder="1" applyAlignment="1" applyProtection="1">
      <alignment horizontal="center" vertical="center" wrapText="1"/>
    </xf>
    <xf numFmtId="171" fontId="38" fillId="22" borderId="89" xfId="4" applyNumberFormat="1" applyFont="1" applyFill="1" applyBorder="1" applyAlignment="1" applyProtection="1">
      <alignment horizontal="center" vertical="center" wrapText="1"/>
    </xf>
    <xf numFmtId="176" fontId="38" fillId="22" borderId="89" xfId="4" applyNumberFormat="1" applyFont="1" applyFill="1" applyBorder="1" applyAlignment="1" applyProtection="1">
      <alignment horizontal="center" vertical="center" wrapText="1"/>
    </xf>
    <xf numFmtId="169" fontId="38" fillId="22" borderId="89" xfId="4" applyNumberFormat="1" applyFont="1" applyFill="1" applyBorder="1" applyAlignment="1" applyProtection="1">
      <alignment horizontal="center" vertical="center" wrapText="1"/>
      <protection locked="0"/>
    </xf>
    <xf numFmtId="0" fontId="38" fillId="22" borderId="90" xfId="4" applyFont="1" applyFill="1" applyBorder="1" applyAlignment="1" applyProtection="1">
      <alignment horizontal="center" vertical="center" wrapText="1"/>
    </xf>
    <xf numFmtId="0" fontId="41" fillId="0" borderId="0" xfId="0" applyFont="1" applyAlignment="1">
      <alignment vertical="center" wrapText="1"/>
    </xf>
    <xf numFmtId="176" fontId="38" fillId="22" borderId="89" xfId="4" applyNumberFormat="1" applyFont="1" applyFill="1" applyBorder="1" applyAlignment="1" applyProtection="1">
      <alignment vertical="center" wrapText="1"/>
    </xf>
    <xf numFmtId="0" fontId="52" fillId="22" borderId="71" xfId="4" applyFont="1" applyFill="1" applyBorder="1" applyAlignment="1" applyProtection="1">
      <alignment vertical="center" wrapText="1"/>
    </xf>
    <xf numFmtId="0" fontId="52" fillId="22" borderId="72" xfId="4" applyFont="1" applyFill="1" applyBorder="1" applyAlignment="1" applyProtection="1">
      <alignment vertical="center" wrapText="1"/>
    </xf>
    <xf numFmtId="0" fontId="43" fillId="0" borderId="76" xfId="0" applyFont="1" applyBorder="1"/>
    <xf numFmtId="0" fontId="43" fillId="0" borderId="70" xfId="0" applyFont="1" applyBorder="1"/>
    <xf numFmtId="4" fontId="40" fillId="22" borderId="73" xfId="3" applyNumberFormat="1" applyFont="1" applyFill="1" applyBorder="1" applyAlignment="1" applyProtection="1">
      <alignment horizontal="center" vertical="top" wrapText="1"/>
    </xf>
    <xf numFmtId="0" fontId="43" fillId="0" borderId="87" xfId="0" applyFont="1" applyBorder="1" applyAlignment="1" applyProtection="1">
      <alignment horizontal="left" vertical="top"/>
      <protection hidden="1"/>
    </xf>
    <xf numFmtId="171" fontId="43" fillId="4" borderId="15" xfId="3" applyNumberFormat="1" applyFont="1" applyFill="1" applyBorder="1" applyAlignment="1" applyProtection="1">
      <alignment horizontal="right"/>
      <protection locked="0"/>
    </xf>
    <xf numFmtId="169" fontId="40" fillId="22" borderId="70" xfId="3" applyNumberFormat="1" applyFont="1" applyFill="1" applyBorder="1" applyAlignment="1" applyProtection="1">
      <alignment horizontal="right" wrapText="1"/>
    </xf>
    <xf numFmtId="0" fontId="43" fillId="0" borderId="102" xfId="0" applyFont="1" applyBorder="1" applyAlignment="1" applyProtection="1">
      <alignment horizontal="left" vertical="top"/>
      <protection hidden="1"/>
    </xf>
    <xf numFmtId="3" fontId="43" fillId="0" borderId="0" xfId="0" applyNumberFormat="1" applyFont="1"/>
    <xf numFmtId="3" fontId="43" fillId="4" borderId="103" xfId="3" applyNumberFormat="1" applyFont="1" applyFill="1" applyBorder="1" applyAlignment="1" applyProtection="1">
      <alignment horizontal="right"/>
      <protection locked="0"/>
    </xf>
    <xf numFmtId="0" fontId="40" fillId="22" borderId="71" xfId="4" applyFont="1" applyFill="1" applyBorder="1" applyAlignment="1" applyProtection="1">
      <alignment vertical="top" wrapText="1"/>
    </xf>
    <xf numFmtId="4" fontId="40" fillId="22" borderId="72" xfId="3" applyNumberFormat="1" applyFont="1" applyFill="1" applyBorder="1" applyAlignment="1" applyProtection="1">
      <alignment horizontal="center" vertical="top" wrapText="1"/>
    </xf>
    <xf numFmtId="0" fontId="43" fillId="5" borderId="105" xfId="0" applyFont="1" applyFill="1" applyBorder="1" applyAlignment="1">
      <alignment horizontal="left"/>
    </xf>
    <xf numFmtId="0" fontId="43" fillId="5" borderId="106" xfId="0" applyFont="1" applyFill="1" applyBorder="1" applyAlignment="1">
      <alignment horizontal="left"/>
    </xf>
    <xf numFmtId="0" fontId="43" fillId="5" borderId="107" xfId="0" applyFont="1" applyFill="1" applyBorder="1" applyAlignment="1">
      <alignment horizontal="left"/>
    </xf>
    <xf numFmtId="169" fontId="43" fillId="6" borderId="70" xfId="3" applyNumberFormat="1" applyFont="1" applyFill="1" applyBorder="1" applyAlignment="1" applyProtection="1">
      <alignment horizontal="center"/>
    </xf>
    <xf numFmtId="171" fontId="43" fillId="6" borderId="70" xfId="3" applyNumberFormat="1" applyFont="1" applyFill="1" applyBorder="1" applyAlignment="1" applyProtection="1">
      <alignment horizontal="right"/>
    </xf>
    <xf numFmtId="0" fontId="25" fillId="0" borderId="25"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58"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44" xfId="0" applyFont="1" applyBorder="1" applyAlignment="1">
      <alignment horizontal="center" vertical="center" wrapText="1"/>
    </xf>
    <xf numFmtId="0" fontId="25" fillId="0" borderId="87" xfId="0" applyFont="1" applyBorder="1" applyAlignment="1">
      <alignment horizontal="center" vertical="center" wrapText="1"/>
    </xf>
    <xf numFmtId="49" fontId="15" fillId="6" borderId="0" xfId="0" applyNumberFormat="1" applyFont="1" applyFill="1" applyAlignment="1" applyProtection="1">
      <alignment vertical="center"/>
      <protection locked="0"/>
    </xf>
    <xf numFmtId="0" fontId="25" fillId="0" borderId="17"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60" xfId="0" applyFont="1" applyBorder="1" applyAlignment="1">
      <alignment horizontal="center" vertical="center" textRotation="90" wrapText="1"/>
    </xf>
    <xf numFmtId="0" fontId="25" fillId="0" borderId="62" xfId="0" applyFont="1" applyBorder="1" applyAlignment="1">
      <alignment horizontal="center" vertical="center" textRotation="90" wrapText="1"/>
    </xf>
    <xf numFmtId="0" fontId="25" fillId="0" borderId="61" xfId="0" applyFont="1" applyBorder="1" applyAlignment="1">
      <alignment horizontal="center" vertical="center" textRotation="90" wrapText="1"/>
    </xf>
    <xf numFmtId="0" fontId="25" fillId="0" borderId="46" xfId="0" applyFont="1" applyBorder="1" applyAlignment="1">
      <alignment horizontal="center" vertical="center" wrapText="1"/>
    </xf>
    <xf numFmtId="0" fontId="25" fillId="0" borderId="47"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57"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62" xfId="0" applyFont="1" applyBorder="1" applyAlignment="1">
      <alignment horizontal="center" vertical="center" wrapText="1"/>
    </xf>
    <xf numFmtId="0" fontId="25" fillId="0" borderId="61"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31"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3" xfId="0" applyFont="1" applyBorder="1" applyAlignment="1">
      <alignment horizontal="center" vertical="center" wrapText="1"/>
    </xf>
    <xf numFmtId="0" fontId="25" fillId="0" borderId="48"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53" xfId="0" applyFont="1" applyBorder="1" applyAlignment="1">
      <alignment horizontal="center" vertical="center" wrapText="1"/>
    </xf>
    <xf numFmtId="0" fontId="28" fillId="0" borderId="0" xfId="0" applyFont="1" applyAlignment="1">
      <alignment horizontal="left" vertical="center" wrapText="1"/>
    </xf>
    <xf numFmtId="0" fontId="27" fillId="0" borderId="0" xfId="0" applyFont="1" applyAlignment="1">
      <alignment horizontal="center" vertical="center" wrapText="1"/>
    </xf>
    <xf numFmtId="0" fontId="25" fillId="0" borderId="55" xfId="0" applyFont="1" applyBorder="1" applyAlignment="1">
      <alignment horizontal="center" vertical="center" textRotation="90" wrapText="1"/>
    </xf>
    <xf numFmtId="0" fontId="25" fillId="0" borderId="57" xfId="0" applyFont="1" applyBorder="1" applyAlignment="1">
      <alignment horizontal="center" vertical="center" textRotation="90"/>
    </xf>
    <xf numFmtId="0" fontId="25" fillId="0" borderId="58" xfId="0" applyFont="1" applyBorder="1" applyAlignment="1">
      <alignment horizontal="center" vertical="center" wrapText="1"/>
    </xf>
    <xf numFmtId="0" fontId="25" fillId="0" borderId="54" xfId="0" applyFont="1" applyBorder="1" applyAlignment="1">
      <alignment horizontal="center" vertical="center" wrapText="1"/>
    </xf>
    <xf numFmtId="0" fontId="25" fillId="0" borderId="55" xfId="0" applyFont="1" applyBorder="1" applyAlignment="1">
      <alignment horizontal="center" vertical="center" textRotation="90"/>
    </xf>
    <xf numFmtId="0" fontId="25" fillId="0" borderId="56" xfId="0" applyFont="1" applyBorder="1" applyAlignment="1">
      <alignment horizontal="center" vertical="center" textRotation="90"/>
    </xf>
    <xf numFmtId="0" fontId="25" fillId="0" borderId="56" xfId="0" applyFont="1" applyBorder="1" applyAlignment="1">
      <alignment horizontal="center" vertical="center" textRotation="90" wrapText="1"/>
    </xf>
    <xf numFmtId="0" fontId="25" fillId="0" borderId="18" xfId="0" applyFont="1" applyBorder="1" applyAlignment="1">
      <alignment horizontal="center" vertical="center" wrapText="1"/>
    </xf>
    <xf numFmtId="0" fontId="25" fillId="0" borderId="0" xfId="0" applyFont="1" applyAlignment="1">
      <alignment horizontal="center" vertical="center" wrapText="1"/>
    </xf>
    <xf numFmtId="0" fontId="25" fillId="0" borderId="111" xfId="0" applyFont="1" applyBorder="1" applyAlignment="1">
      <alignment horizontal="center" vertical="center" wrapText="1"/>
    </xf>
    <xf numFmtId="0" fontId="15" fillId="6" borderId="1" xfId="0" applyFont="1" applyFill="1" applyBorder="1" applyAlignment="1" applyProtection="1">
      <alignment horizontal="left" vertical="center"/>
      <protection locked="0"/>
    </xf>
    <xf numFmtId="0" fontId="15" fillId="5" borderId="0" xfId="0" applyFont="1" applyFill="1" applyAlignment="1" applyProtection="1">
      <alignment horizontal="left" vertical="center"/>
      <protection locked="0"/>
    </xf>
    <xf numFmtId="0" fontId="6" fillId="21" borderId="0" xfId="0" applyFont="1" applyFill="1" applyAlignment="1">
      <alignment horizontal="center" vertical="center"/>
    </xf>
    <xf numFmtId="0" fontId="5" fillId="0" borderId="0" xfId="0" applyFont="1" applyAlignment="1">
      <alignment horizontal="center" vertical="center"/>
    </xf>
    <xf numFmtId="0" fontId="15" fillId="5" borderId="0" xfId="0" applyFont="1" applyFill="1" applyAlignment="1">
      <alignment horizontal="center" vertical="center"/>
    </xf>
    <xf numFmtId="0" fontId="7" fillId="0" borderId="0" xfId="0" applyFont="1" applyAlignment="1">
      <alignment horizontal="center" vertical="center"/>
    </xf>
    <xf numFmtId="0" fontId="43" fillId="0" borderId="38" xfId="0" applyFont="1" applyBorder="1" applyAlignment="1">
      <alignment horizontal="left"/>
    </xf>
    <xf numFmtId="0" fontId="43" fillId="0" borderId="37" xfId="0" applyFont="1" applyBorder="1" applyAlignment="1">
      <alignment horizontal="left"/>
    </xf>
    <xf numFmtId="0" fontId="43" fillId="0" borderId="0" xfId="0" applyFont="1" applyAlignment="1">
      <alignment horizontal="left"/>
    </xf>
    <xf numFmtId="0" fontId="43" fillId="0" borderId="34" xfId="0" applyFont="1" applyBorder="1" applyAlignment="1">
      <alignment horizontal="left"/>
    </xf>
    <xf numFmtId="0" fontId="10" fillId="0" borderId="108" xfId="0" applyFont="1" applyBorder="1" applyAlignment="1">
      <alignment horizontal="left"/>
    </xf>
    <xf numFmtId="0" fontId="10" fillId="0" borderId="109" xfId="0" applyFont="1" applyBorder="1" applyAlignment="1">
      <alignment horizontal="left"/>
    </xf>
    <xf numFmtId="4" fontId="40" fillId="22" borderId="72" xfId="3" applyNumberFormat="1" applyFont="1" applyFill="1" applyBorder="1" applyAlignment="1" applyProtection="1">
      <alignment horizontal="center" vertical="top" wrapText="1"/>
    </xf>
    <xf numFmtId="4" fontId="40" fillId="22" borderId="104" xfId="3" applyNumberFormat="1" applyFont="1" applyFill="1" applyBorder="1" applyAlignment="1" applyProtection="1">
      <alignment horizontal="center" vertical="top" wrapText="1"/>
    </xf>
    <xf numFmtId="171" fontId="43" fillId="6" borderId="6" xfId="3" applyNumberFormat="1" applyFont="1" applyFill="1" applyBorder="1" applyAlignment="1" applyProtection="1">
      <alignment horizontal="right"/>
    </xf>
    <xf numFmtId="171" fontId="43" fillId="6" borderId="44" xfId="3" applyNumberFormat="1" applyFont="1" applyFill="1" applyBorder="1" applyAlignment="1" applyProtection="1">
      <alignment horizontal="right"/>
    </xf>
    <xf numFmtId="171" fontId="43" fillId="6" borderId="36" xfId="3" applyNumberFormat="1" applyFont="1" applyFill="1" applyBorder="1" applyAlignment="1" applyProtection="1">
      <alignment horizontal="right"/>
    </xf>
    <xf numFmtId="171" fontId="43" fillId="6" borderId="92" xfId="3" applyNumberFormat="1" applyFont="1" applyFill="1" applyBorder="1" applyAlignment="1" applyProtection="1">
      <alignment horizontal="right"/>
    </xf>
    <xf numFmtId="171" fontId="43" fillId="6" borderId="110" xfId="3" applyNumberFormat="1" applyFont="1" applyFill="1" applyBorder="1" applyAlignment="1" applyProtection="1">
      <alignment horizontal="right"/>
    </xf>
    <xf numFmtId="171" fontId="43" fillId="6" borderId="90" xfId="3" applyNumberFormat="1" applyFont="1" applyFill="1" applyBorder="1" applyAlignment="1" applyProtection="1">
      <alignment horizontal="right"/>
    </xf>
    <xf numFmtId="0" fontId="40" fillId="22" borderId="72" xfId="4" applyFont="1" applyFill="1" applyBorder="1" applyAlignment="1" applyProtection="1">
      <alignment horizontal="center" vertical="top" wrapText="1"/>
    </xf>
    <xf numFmtId="171" fontId="43" fillId="6" borderId="7" xfId="3" applyNumberFormat="1" applyFont="1" applyFill="1" applyBorder="1" applyAlignment="1" applyProtection="1">
      <alignment horizontal="right"/>
    </xf>
    <xf numFmtId="171" fontId="43" fillId="6" borderId="100" xfId="3" applyNumberFormat="1" applyFont="1" applyFill="1" applyBorder="1" applyAlignment="1" applyProtection="1">
      <alignment horizontal="right"/>
    </xf>
    <xf numFmtId="171" fontId="40" fillId="22" borderId="95" xfId="3" applyNumberFormat="1" applyFont="1" applyFill="1" applyBorder="1" applyAlignment="1" applyProtection="1">
      <alignment horizontal="right" wrapText="1"/>
    </xf>
    <xf numFmtId="171" fontId="40" fillId="22" borderId="96" xfId="3" applyNumberFormat="1" applyFont="1" applyFill="1" applyBorder="1" applyAlignment="1" applyProtection="1">
      <alignment horizontal="right" wrapText="1"/>
    </xf>
    <xf numFmtId="3" fontId="43" fillId="6" borderId="36" xfId="3" applyNumberFormat="1" applyFont="1" applyFill="1" applyBorder="1" applyAlignment="1" applyProtection="1">
      <alignment horizontal="right"/>
    </xf>
    <xf numFmtId="3" fontId="43" fillId="6" borderId="92" xfId="3" applyNumberFormat="1" applyFont="1" applyFill="1" applyBorder="1" applyAlignment="1" applyProtection="1">
      <alignment horizontal="right"/>
    </xf>
    <xf numFmtId="0" fontId="40" fillId="22" borderId="97" xfId="4" applyFont="1" applyFill="1" applyBorder="1" applyAlignment="1" applyProtection="1">
      <alignment horizontal="left" vertical="top" wrapText="1"/>
    </xf>
    <xf numFmtId="0" fontId="40" fillId="22" borderId="98" xfId="4" applyFont="1" applyFill="1" applyBorder="1" applyAlignment="1" applyProtection="1">
      <alignment horizontal="left" vertical="top" wrapText="1"/>
    </xf>
    <xf numFmtId="0" fontId="40" fillId="22" borderId="99" xfId="4" applyFont="1" applyFill="1" applyBorder="1" applyAlignment="1" applyProtection="1">
      <alignment horizontal="left" vertical="top" wrapText="1"/>
    </xf>
    <xf numFmtId="0" fontId="43" fillId="0" borderId="87" xfId="0" applyFont="1" applyBorder="1" applyAlignment="1" applyProtection="1">
      <alignment horizontal="left"/>
      <protection hidden="1"/>
    </xf>
    <xf numFmtId="0" fontId="43" fillId="0" borderId="0" xfId="0" applyFont="1" applyAlignment="1" applyProtection="1">
      <alignment horizontal="left"/>
      <protection hidden="1"/>
    </xf>
    <xf numFmtId="0" fontId="43" fillId="0" borderId="34" xfId="0" applyFont="1" applyBorder="1" applyAlignment="1" applyProtection="1">
      <alignment horizontal="left"/>
      <protection hidden="1"/>
    </xf>
    <xf numFmtId="0" fontId="40" fillId="22" borderId="93" xfId="4" applyFont="1" applyFill="1" applyBorder="1" applyAlignment="1" applyProtection="1">
      <alignment horizontal="left" wrapText="1"/>
    </xf>
    <xf numFmtId="0" fontId="40" fillId="22" borderId="101" xfId="4" applyFont="1" applyFill="1" applyBorder="1" applyAlignment="1" applyProtection="1">
      <alignment horizontal="left" wrapText="1"/>
    </xf>
    <xf numFmtId="0" fontId="40" fillId="22" borderId="94" xfId="4" applyFont="1" applyFill="1" applyBorder="1" applyAlignment="1" applyProtection="1">
      <alignment horizontal="left" wrapText="1"/>
    </xf>
    <xf numFmtId="0" fontId="40" fillId="22" borderId="93" xfId="4" applyFont="1" applyFill="1" applyBorder="1" applyAlignment="1" applyProtection="1">
      <alignment horizontal="left" vertical="top" wrapText="1"/>
    </xf>
    <xf numFmtId="0" fontId="40" fillId="22" borderId="101" xfId="4" applyFont="1" applyFill="1" applyBorder="1" applyAlignment="1" applyProtection="1">
      <alignment horizontal="left" vertical="top" wrapText="1"/>
    </xf>
    <xf numFmtId="0" fontId="40" fillId="22" borderId="94" xfId="4" applyFont="1" applyFill="1" applyBorder="1" applyAlignment="1" applyProtection="1">
      <alignment horizontal="left" vertical="top" wrapText="1"/>
    </xf>
    <xf numFmtId="4" fontId="40" fillId="22" borderId="73" xfId="3" applyNumberFormat="1" applyFont="1" applyFill="1" applyBorder="1" applyAlignment="1" applyProtection="1">
      <alignment horizontal="center" vertical="top" wrapText="1"/>
    </xf>
    <xf numFmtId="4" fontId="40" fillId="22" borderId="74" xfId="3" applyNumberFormat="1" applyFont="1" applyFill="1" applyBorder="1" applyAlignment="1" applyProtection="1">
      <alignment horizontal="center" vertical="top" wrapText="1"/>
    </xf>
    <xf numFmtId="0" fontId="47" fillId="0" borderId="0" xfId="0" applyFont="1" applyAlignment="1">
      <alignment horizontal="left"/>
    </xf>
    <xf numFmtId="3" fontId="40" fillId="22" borderId="95" xfId="3" applyNumberFormat="1" applyFont="1" applyFill="1" applyBorder="1" applyAlignment="1" applyProtection="1">
      <alignment horizontal="right" wrapText="1"/>
    </xf>
    <xf numFmtId="3" fontId="40" fillId="22" borderId="96" xfId="3" applyNumberFormat="1" applyFont="1" applyFill="1" applyBorder="1" applyAlignment="1" applyProtection="1">
      <alignment horizontal="right" wrapText="1"/>
    </xf>
    <xf numFmtId="0" fontId="52" fillId="22" borderId="73" xfId="4" applyFont="1" applyFill="1" applyBorder="1" applyAlignment="1" applyProtection="1">
      <alignment horizontal="center" vertical="center" wrapText="1"/>
    </xf>
    <xf numFmtId="0" fontId="52" fillId="22" borderId="74" xfId="4" applyFont="1" applyFill="1" applyBorder="1" applyAlignment="1" applyProtection="1">
      <alignment horizontal="center" vertical="center" wrapText="1"/>
    </xf>
    <xf numFmtId="3" fontId="40" fillId="22" borderId="5" xfId="3" applyNumberFormat="1" applyFont="1" applyFill="1" applyBorder="1" applyAlignment="1" applyProtection="1">
      <alignment horizontal="center" wrapText="1"/>
    </xf>
    <xf numFmtId="3" fontId="40" fillId="22" borderId="76" xfId="3" applyNumberFormat="1" applyFont="1" applyFill="1" applyBorder="1" applyAlignment="1" applyProtection="1">
      <alignment horizontal="center" wrapText="1"/>
    </xf>
    <xf numFmtId="3" fontId="43" fillId="0" borderId="75" xfId="3" applyNumberFormat="1" applyFont="1" applyFill="1" applyBorder="1" applyAlignment="1" applyProtection="1">
      <alignment horizontal="left"/>
    </xf>
    <xf numFmtId="3" fontId="43" fillId="0" borderId="5" xfId="3" applyNumberFormat="1" applyFont="1" applyFill="1" applyBorder="1" applyAlignment="1" applyProtection="1">
      <alignment horizontal="left"/>
    </xf>
    <xf numFmtId="0" fontId="49" fillId="3" borderId="0" xfId="0" applyFont="1" applyFill="1" applyAlignment="1">
      <alignment horizontal="center"/>
    </xf>
    <xf numFmtId="0" fontId="51" fillId="22" borderId="80" xfId="4" applyFont="1" applyFill="1" applyBorder="1" applyAlignment="1" applyProtection="1">
      <alignment horizontal="center" vertical="center" wrapText="1"/>
    </xf>
    <xf numFmtId="0" fontId="51" fillId="22" borderId="82" xfId="4" applyFont="1" applyFill="1" applyBorder="1" applyAlignment="1" applyProtection="1">
      <alignment horizontal="center" vertical="center" wrapText="1"/>
    </xf>
    <xf numFmtId="0" fontId="51" fillId="22" borderId="81" xfId="4" applyFont="1" applyFill="1" applyBorder="1" applyAlignment="1" applyProtection="1">
      <alignment horizontal="center" vertical="center" wrapText="1"/>
    </xf>
    <xf numFmtId="169" fontId="51" fillId="22" borderId="80" xfId="4" applyNumberFormat="1" applyFont="1" applyFill="1" applyBorder="1" applyAlignment="1" applyProtection="1">
      <alignment horizontal="center" vertical="center" wrapText="1"/>
    </xf>
    <xf numFmtId="169" fontId="51" fillId="22" borderId="81" xfId="4" applyNumberFormat="1" applyFont="1" applyFill="1" applyBorder="1" applyAlignment="1" applyProtection="1">
      <alignment horizontal="center" vertical="center" wrapText="1"/>
    </xf>
    <xf numFmtId="0" fontId="34" fillId="4" borderId="0" xfId="0" applyFont="1" applyFill="1" applyAlignment="1">
      <alignment horizontal="center"/>
    </xf>
    <xf numFmtId="0" fontId="51" fillId="22" borderId="84" xfId="4" applyFont="1" applyFill="1" applyBorder="1" applyAlignment="1" applyProtection="1">
      <alignment horizontal="center" vertical="center" wrapText="1"/>
    </xf>
    <xf numFmtId="166" fontId="51" fillId="22" borderId="80" xfId="4" applyNumberFormat="1" applyFont="1" applyFill="1" applyBorder="1" applyAlignment="1" applyProtection="1">
      <alignment horizontal="center" vertical="center"/>
    </xf>
    <xf numFmtId="166" fontId="51" fillId="22" borderId="81" xfId="4" applyNumberFormat="1" applyFont="1" applyFill="1" applyBorder="1" applyAlignment="1" applyProtection="1">
      <alignment horizontal="center" vertical="center"/>
    </xf>
    <xf numFmtId="0" fontId="41" fillId="0" borderId="69" xfId="0" applyFont="1" applyBorder="1" applyAlignment="1">
      <alignment horizontal="center"/>
    </xf>
    <xf numFmtId="0" fontId="43" fillId="0" borderId="69" xfId="0" applyFont="1" applyBorder="1" applyAlignment="1">
      <alignment horizontal="center"/>
    </xf>
    <xf numFmtId="3" fontId="40" fillId="22" borderId="70" xfId="3" applyNumberFormat="1" applyFont="1" applyFill="1" applyBorder="1" applyAlignment="1" applyProtection="1">
      <alignment horizontal="center" wrapText="1"/>
    </xf>
    <xf numFmtId="3" fontId="40" fillId="22" borderId="78" xfId="3" applyNumberFormat="1" applyFont="1" applyFill="1" applyBorder="1" applyAlignment="1" applyProtection="1">
      <alignment horizontal="center" wrapText="1"/>
    </xf>
    <xf numFmtId="3" fontId="43" fillId="0" borderId="77" xfId="3" applyNumberFormat="1" applyFont="1" applyFill="1" applyBorder="1" applyAlignment="1" applyProtection="1">
      <alignment horizontal="left"/>
    </xf>
    <xf numFmtId="3" fontId="43" fillId="0" borderId="70" xfId="3" applyNumberFormat="1" applyFont="1" applyFill="1" applyBorder="1" applyAlignment="1" applyProtection="1">
      <alignment horizontal="left"/>
    </xf>
    <xf numFmtId="0" fontId="47" fillId="0" borderId="0" xfId="0" applyFont="1" applyAlignment="1">
      <alignment horizontal="left" vertical="top" wrapText="1"/>
    </xf>
    <xf numFmtId="0" fontId="47" fillId="0" borderId="0" xfId="0" applyFont="1" applyAlignment="1" applyProtection="1">
      <alignment horizontal="left" vertical="top" wrapText="1"/>
      <protection hidden="1"/>
    </xf>
    <xf numFmtId="0" fontId="40" fillId="22" borderId="73" xfId="4" applyFont="1" applyFill="1" applyBorder="1" applyAlignment="1" applyProtection="1">
      <alignment horizontal="center" vertical="top" wrapText="1"/>
    </xf>
    <xf numFmtId="0" fontId="40" fillId="22" borderId="98" xfId="4" applyFont="1" applyFill="1" applyBorder="1" applyAlignment="1" applyProtection="1">
      <alignment horizontal="center" vertical="top" wrapText="1"/>
    </xf>
    <xf numFmtId="0" fontId="40" fillId="22" borderId="99" xfId="4" applyFont="1" applyFill="1" applyBorder="1" applyAlignment="1" applyProtection="1">
      <alignment horizontal="center" vertical="top" wrapText="1"/>
    </xf>
    <xf numFmtId="0" fontId="43" fillId="0" borderId="39" xfId="0" applyFont="1" applyBorder="1" applyAlignment="1">
      <alignment horizontal="left"/>
    </xf>
    <xf numFmtId="0" fontId="43" fillId="0" borderId="40" xfId="0" applyFont="1" applyBorder="1" applyAlignment="1">
      <alignment horizontal="left"/>
    </xf>
    <xf numFmtId="0" fontId="43" fillId="0" borderId="102" xfId="0" applyFont="1" applyBorder="1" applyAlignment="1" applyProtection="1">
      <alignment horizontal="left"/>
      <protection hidden="1"/>
    </xf>
    <xf numFmtId="0" fontId="43" fillId="0" borderId="2" xfId="0" applyFont="1" applyBorder="1" applyAlignment="1" applyProtection="1">
      <alignment horizontal="left"/>
      <protection hidden="1"/>
    </xf>
    <xf numFmtId="0" fontId="43" fillId="0" borderId="68" xfId="0" applyFont="1" applyBorder="1" applyAlignment="1" applyProtection="1">
      <alignment horizontal="left"/>
      <protection hidden="1"/>
    </xf>
    <xf numFmtId="3" fontId="43" fillId="0" borderId="93" xfId="3" applyNumberFormat="1" applyFont="1" applyFill="1" applyBorder="1" applyAlignment="1" applyProtection="1">
      <alignment horizontal="left"/>
    </xf>
    <xf numFmtId="3" fontId="43" fillId="0" borderId="94" xfId="3" applyNumberFormat="1" applyFont="1" applyFill="1" applyBorder="1" applyAlignment="1" applyProtection="1">
      <alignment horizontal="left"/>
    </xf>
    <xf numFmtId="3" fontId="43" fillId="0" borderId="91" xfId="3" applyNumberFormat="1" applyFont="1" applyFill="1" applyBorder="1" applyAlignment="1" applyProtection="1">
      <alignment horizontal="left"/>
    </xf>
    <xf numFmtId="3" fontId="43" fillId="0" borderId="9" xfId="3" applyNumberFormat="1" applyFont="1" applyFill="1" applyBorder="1" applyAlignment="1" applyProtection="1">
      <alignment horizontal="left"/>
    </xf>
    <xf numFmtId="3" fontId="40" fillId="22" borderId="36" xfId="3" applyNumberFormat="1" applyFont="1" applyFill="1" applyBorder="1" applyAlignment="1" applyProtection="1">
      <alignment horizontal="center" wrapText="1"/>
    </xf>
    <xf numFmtId="3" fontId="40" fillId="22" borderId="92" xfId="3" applyNumberFormat="1" applyFont="1" applyFill="1" applyBorder="1" applyAlignment="1" applyProtection="1">
      <alignment horizontal="center" wrapText="1"/>
    </xf>
    <xf numFmtId="3" fontId="40" fillId="22" borderId="95" xfId="3" applyNumberFormat="1" applyFont="1" applyFill="1" applyBorder="1" applyAlignment="1" applyProtection="1">
      <alignment horizontal="center" wrapText="1"/>
    </xf>
    <xf numFmtId="3" fontId="40" fillId="22" borderId="96" xfId="3" applyNumberFormat="1" applyFont="1" applyFill="1" applyBorder="1" applyAlignment="1" applyProtection="1">
      <alignment horizontal="center" wrapText="1"/>
    </xf>
    <xf numFmtId="171" fontId="20" fillId="0" borderId="12" xfId="0" applyNumberFormat="1" applyFont="1" applyBorder="1" applyAlignment="1">
      <alignment horizontal="center" vertical="top"/>
    </xf>
    <xf numFmtId="171" fontId="20" fillId="0" borderId="13" xfId="0" applyNumberFormat="1" applyFont="1" applyBorder="1" applyAlignment="1">
      <alignment horizontal="center" vertical="top"/>
    </xf>
    <xf numFmtId="171" fontId="20" fillId="0" borderId="14" xfId="0" applyNumberFormat="1" applyFont="1" applyBorder="1" applyAlignment="1">
      <alignment horizontal="center" vertical="top"/>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12" xfId="0" applyFont="1" applyBorder="1" applyAlignment="1">
      <alignment horizontal="center" vertical="top" wrapText="1"/>
    </xf>
    <xf numFmtId="0" fontId="20" fillId="0" borderId="14" xfId="0" applyFont="1" applyBorder="1" applyAlignment="1">
      <alignment horizontal="center" vertical="top" wrapText="1"/>
    </xf>
    <xf numFmtId="0" fontId="16" fillId="0" borderId="0" xfId="0" applyFont="1" applyAlignment="1">
      <alignment horizontal="center" vertical="center"/>
    </xf>
  </cellXfs>
  <cellStyles count="8">
    <cellStyle name="Gut" xfId="4" builtinId="26"/>
    <cellStyle name="Komma" xfId="3" builtinId="3"/>
    <cellStyle name="Komma 2" xfId="6" xr:uid="{00000000-0005-0000-0000-000002000000}"/>
    <cellStyle name="Prozent" xfId="7" builtinId="5"/>
    <cellStyle name="Standard" xfId="0" builtinId="0"/>
    <cellStyle name="Standard 2" xfId="1" xr:uid="{00000000-0005-0000-0000-000005000000}"/>
    <cellStyle name="Standard 3" xfId="2" xr:uid="{00000000-0005-0000-0000-000006000000}"/>
    <cellStyle name="Standard 3 2" xfId="5" xr:uid="{00000000-0005-0000-0000-000007000000}"/>
  </cellStyles>
  <dxfs count="139">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ont>
        <color theme="0"/>
      </font>
      <fill>
        <patternFill>
          <bgColor rgb="FFC00000"/>
        </patternFill>
      </fill>
    </dxf>
    <dxf>
      <font>
        <color theme="0"/>
      </font>
      <fill>
        <patternFill>
          <bgColor rgb="FFC00000"/>
        </patternFill>
      </fill>
    </dxf>
    <dxf>
      <fill>
        <patternFill>
          <bgColor theme="4" tint="0.79998168889431442"/>
        </patternFill>
      </fill>
      <border>
        <top style="thin">
          <color theme="0"/>
        </top>
        <bottom style="thin">
          <color theme="0"/>
        </bottom>
      </border>
    </dxf>
    <dxf>
      <fill>
        <patternFill>
          <bgColor theme="4" tint="0.79998168889431442"/>
        </patternFill>
      </fill>
      <border>
        <top style="thin">
          <color theme="0"/>
        </top>
        <bottom style="thin">
          <color theme="0"/>
        </bottom>
      </border>
    </dxf>
    <dxf>
      <fill>
        <patternFill>
          <bgColor rgb="FFFF0000"/>
        </patternFill>
      </fill>
    </dxf>
  </dxfs>
  <tableStyles count="0" defaultTableStyle="TableStyleMedium9" defaultPivotStyle="PivotStyleLight16"/>
  <colors>
    <mruColors>
      <color rgb="FF9999FF"/>
      <color rgb="FF008080"/>
      <color rgb="FFA50021"/>
      <color rgb="FFB9E6D2"/>
      <color rgb="FF009999"/>
      <color rgb="FFCC0099"/>
      <color rgb="FFB9D2E6"/>
      <color rgb="FFCCFFCC"/>
      <color rgb="FF00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Spin" dx="11" fmlaLink="$G$9" max="3000" min="1900" page="10" val="2025"/>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1.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2.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3.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4.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15.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5.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5.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5.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6.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7.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8.xml.rels><?xml version="1.0" encoding="UTF-8" standalone="yes"?>
<Relationships xmlns="http://schemas.openxmlformats.org/package/2006/relationships"><Relationship Id="rId1" Type="http://schemas.openxmlformats.org/officeDocument/2006/relationships/image" Target="../media/image16.tiff"/></Relationships>
</file>

<file path=xl/drawings/_rels/drawing9.xml.rels><?xml version="1.0" encoding="UTF-8" standalone="yes"?>
<Relationships xmlns="http://schemas.openxmlformats.org/package/2006/relationships"><Relationship Id="rId1" Type="http://schemas.openxmlformats.org/officeDocument/2006/relationships/image" Target="../media/image16.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174</xdr:row>
      <xdr:rowOff>0</xdr:rowOff>
    </xdr:from>
    <xdr:to>
      <xdr:col>0</xdr:col>
      <xdr:colOff>7791451</xdr:colOff>
      <xdr:row>178</xdr:row>
      <xdr:rowOff>123939</xdr:rowOff>
    </xdr:to>
    <xdr:pic>
      <xdr:nvPicPr>
        <xdr:cNvPr id="27" name="Grafik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1"/>
        <a:stretch>
          <a:fillRect/>
        </a:stretch>
      </xdr:blipFill>
      <xdr:spPr>
        <a:xfrm>
          <a:off x="1" y="42271950"/>
          <a:ext cx="7791450" cy="847839"/>
        </a:xfrm>
        <a:prstGeom prst="rect">
          <a:avLst/>
        </a:prstGeom>
      </xdr:spPr>
    </xdr:pic>
    <xdr:clientData/>
  </xdr:twoCellAnchor>
  <xdr:twoCellAnchor editAs="oneCell">
    <xdr:from>
      <xdr:col>0</xdr:col>
      <xdr:colOff>38100</xdr:colOff>
      <xdr:row>15</xdr:row>
      <xdr:rowOff>104775</xdr:rowOff>
    </xdr:from>
    <xdr:to>
      <xdr:col>0</xdr:col>
      <xdr:colOff>5353792</xdr:colOff>
      <xdr:row>34</xdr:row>
      <xdr:rowOff>57623</xdr:rowOff>
    </xdr:to>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38100" y="7839075"/>
          <a:ext cx="5315692" cy="3391373"/>
        </a:xfrm>
        <a:prstGeom prst="rect">
          <a:avLst/>
        </a:prstGeom>
      </xdr:spPr>
    </xdr:pic>
    <xdr:clientData/>
  </xdr:twoCellAnchor>
  <xdr:twoCellAnchor editAs="oneCell">
    <xdr:from>
      <xdr:col>0</xdr:col>
      <xdr:colOff>9525</xdr:colOff>
      <xdr:row>38</xdr:row>
      <xdr:rowOff>57150</xdr:rowOff>
    </xdr:from>
    <xdr:to>
      <xdr:col>0</xdr:col>
      <xdr:colOff>5315690</xdr:colOff>
      <xdr:row>42</xdr:row>
      <xdr:rowOff>76304</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9525" y="12563475"/>
          <a:ext cx="5306165" cy="743054"/>
        </a:xfrm>
        <a:prstGeom prst="rect">
          <a:avLst/>
        </a:prstGeom>
      </xdr:spPr>
    </xdr:pic>
    <xdr:clientData/>
  </xdr:twoCellAnchor>
  <xdr:twoCellAnchor editAs="oneCell">
    <xdr:from>
      <xdr:col>0</xdr:col>
      <xdr:colOff>9525</xdr:colOff>
      <xdr:row>46</xdr:row>
      <xdr:rowOff>19050</xdr:rowOff>
    </xdr:from>
    <xdr:to>
      <xdr:col>0</xdr:col>
      <xdr:colOff>5325217</xdr:colOff>
      <xdr:row>50</xdr:row>
      <xdr:rowOff>47730</xdr:rowOff>
    </xdr:to>
    <xdr:pic>
      <xdr:nvPicPr>
        <xdr:cNvPr id="17" name="Grafik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4"/>
        <a:stretch>
          <a:fillRect/>
        </a:stretch>
      </xdr:blipFill>
      <xdr:spPr>
        <a:xfrm>
          <a:off x="9525" y="15011400"/>
          <a:ext cx="5315692" cy="752580"/>
        </a:xfrm>
        <a:prstGeom prst="rect">
          <a:avLst/>
        </a:prstGeom>
      </xdr:spPr>
    </xdr:pic>
    <xdr:clientData/>
  </xdr:twoCellAnchor>
  <xdr:twoCellAnchor editAs="oneCell">
    <xdr:from>
      <xdr:col>0</xdr:col>
      <xdr:colOff>9525</xdr:colOff>
      <xdr:row>62</xdr:row>
      <xdr:rowOff>66675</xdr:rowOff>
    </xdr:from>
    <xdr:to>
      <xdr:col>0</xdr:col>
      <xdr:colOff>5325217</xdr:colOff>
      <xdr:row>68</xdr:row>
      <xdr:rowOff>57300</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5"/>
        <a:stretch>
          <a:fillRect/>
        </a:stretch>
      </xdr:blipFill>
      <xdr:spPr>
        <a:xfrm>
          <a:off x="9525" y="18297525"/>
          <a:ext cx="5315692" cy="1076475"/>
        </a:xfrm>
        <a:prstGeom prst="rect">
          <a:avLst/>
        </a:prstGeom>
      </xdr:spPr>
    </xdr:pic>
    <xdr:clientData/>
  </xdr:twoCellAnchor>
  <xdr:twoCellAnchor editAs="oneCell">
    <xdr:from>
      <xdr:col>0</xdr:col>
      <xdr:colOff>0</xdr:colOff>
      <xdr:row>53</xdr:row>
      <xdr:rowOff>7296</xdr:rowOff>
    </xdr:from>
    <xdr:to>
      <xdr:col>0</xdr:col>
      <xdr:colOff>5334000</xdr:colOff>
      <xdr:row>58</xdr:row>
      <xdr:rowOff>66760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6"/>
        <a:stretch>
          <a:fillRect/>
        </a:stretch>
      </xdr:blipFill>
      <xdr:spPr>
        <a:xfrm>
          <a:off x="0" y="16333146"/>
          <a:ext cx="5334000" cy="964339"/>
        </a:xfrm>
        <a:prstGeom prst="rect">
          <a:avLst/>
        </a:prstGeom>
      </xdr:spPr>
    </xdr:pic>
    <xdr:clientData/>
  </xdr:twoCellAnchor>
  <xdr:twoCellAnchor editAs="oneCell">
    <xdr:from>
      <xdr:col>0</xdr:col>
      <xdr:colOff>0</xdr:colOff>
      <xdr:row>71</xdr:row>
      <xdr:rowOff>57150</xdr:rowOff>
    </xdr:from>
    <xdr:to>
      <xdr:col>0</xdr:col>
      <xdr:colOff>5343525</xdr:colOff>
      <xdr:row>76</xdr:row>
      <xdr:rowOff>76201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a:stretch>
          <a:fillRect/>
        </a:stretch>
      </xdr:blipFill>
      <xdr:spPr>
        <a:xfrm>
          <a:off x="0" y="20002500"/>
          <a:ext cx="5343525" cy="923926"/>
        </a:xfrm>
        <a:prstGeom prst="rect">
          <a:avLst/>
        </a:prstGeom>
      </xdr:spPr>
    </xdr:pic>
    <xdr:clientData/>
  </xdr:twoCellAnchor>
  <xdr:twoCellAnchor editAs="oneCell">
    <xdr:from>
      <xdr:col>0</xdr:col>
      <xdr:colOff>0</xdr:colOff>
      <xdr:row>81</xdr:row>
      <xdr:rowOff>19050</xdr:rowOff>
    </xdr:from>
    <xdr:to>
      <xdr:col>0</xdr:col>
      <xdr:colOff>5324475</xdr:colOff>
      <xdr:row>85</xdr:row>
      <xdr:rowOff>85835</xdr:rowOff>
    </xdr:to>
    <xdr:pic>
      <xdr:nvPicPr>
        <xdr:cNvPr id="10" name="Grafik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8"/>
        <a:stretch>
          <a:fillRect/>
        </a:stretch>
      </xdr:blipFill>
      <xdr:spPr>
        <a:xfrm>
          <a:off x="0" y="21869400"/>
          <a:ext cx="5324475" cy="790685"/>
        </a:xfrm>
        <a:prstGeom prst="rect">
          <a:avLst/>
        </a:prstGeom>
      </xdr:spPr>
    </xdr:pic>
    <xdr:clientData/>
  </xdr:twoCellAnchor>
  <xdr:twoCellAnchor editAs="oneCell">
    <xdr:from>
      <xdr:col>0</xdr:col>
      <xdr:colOff>0</xdr:colOff>
      <xdr:row>90</xdr:row>
      <xdr:rowOff>38099</xdr:rowOff>
    </xdr:from>
    <xdr:to>
      <xdr:col>0</xdr:col>
      <xdr:colOff>5305424</xdr:colOff>
      <xdr:row>108</xdr:row>
      <xdr:rowOff>143406</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9"/>
        <a:stretch>
          <a:fillRect/>
        </a:stretch>
      </xdr:blipFill>
      <xdr:spPr>
        <a:xfrm>
          <a:off x="0" y="22859999"/>
          <a:ext cx="5305424" cy="3362857"/>
        </a:xfrm>
        <a:prstGeom prst="rect">
          <a:avLst/>
        </a:prstGeom>
      </xdr:spPr>
    </xdr:pic>
    <xdr:clientData/>
  </xdr:twoCellAnchor>
  <xdr:twoCellAnchor editAs="oneCell">
    <xdr:from>
      <xdr:col>0</xdr:col>
      <xdr:colOff>0</xdr:colOff>
      <xdr:row>113</xdr:row>
      <xdr:rowOff>9525</xdr:rowOff>
    </xdr:from>
    <xdr:to>
      <xdr:col>0</xdr:col>
      <xdr:colOff>5286375</xdr:colOff>
      <xdr:row>138</xdr:row>
      <xdr:rowOff>105420</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0"/>
        <a:stretch>
          <a:fillRect/>
        </a:stretch>
      </xdr:blipFill>
      <xdr:spPr>
        <a:xfrm>
          <a:off x="0" y="28336875"/>
          <a:ext cx="5286375" cy="4620270"/>
        </a:xfrm>
        <a:prstGeom prst="rect">
          <a:avLst/>
        </a:prstGeom>
      </xdr:spPr>
    </xdr:pic>
    <xdr:clientData/>
  </xdr:twoCellAnchor>
  <xdr:twoCellAnchor editAs="oneCell">
    <xdr:from>
      <xdr:col>0</xdr:col>
      <xdr:colOff>19050</xdr:colOff>
      <xdr:row>148</xdr:row>
      <xdr:rowOff>123825</xdr:rowOff>
    </xdr:from>
    <xdr:to>
      <xdr:col>1</xdr:col>
      <xdr:colOff>13638</xdr:colOff>
      <xdr:row>169</xdr:row>
      <xdr:rowOff>133350</xdr:rowOff>
    </xdr:to>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1"/>
        <a:stretch>
          <a:fillRect/>
        </a:stretch>
      </xdr:blipFill>
      <xdr:spPr>
        <a:xfrm>
          <a:off x="19050" y="37099875"/>
          <a:ext cx="7852713" cy="3810000"/>
        </a:xfrm>
        <a:prstGeom prst="rect">
          <a:avLst/>
        </a:prstGeom>
      </xdr:spPr>
    </xdr:pic>
    <xdr:clientData/>
  </xdr:twoCellAnchor>
  <xdr:twoCellAnchor editAs="oneCell">
    <xdr:from>
      <xdr:col>0</xdr:col>
      <xdr:colOff>19050</xdr:colOff>
      <xdr:row>199</xdr:row>
      <xdr:rowOff>219075</xdr:rowOff>
    </xdr:from>
    <xdr:to>
      <xdr:col>0</xdr:col>
      <xdr:colOff>7824134</xdr:colOff>
      <xdr:row>207</xdr:row>
      <xdr:rowOff>152400</xdr:rowOff>
    </xdr:to>
    <xdr:pic>
      <xdr:nvPicPr>
        <xdr:cNvPr id="20" name="Grafik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2"/>
        <a:stretch>
          <a:fillRect/>
        </a:stretch>
      </xdr:blipFill>
      <xdr:spPr>
        <a:xfrm>
          <a:off x="19050" y="51473100"/>
          <a:ext cx="7805084" cy="1590675"/>
        </a:xfrm>
        <a:prstGeom prst="rect">
          <a:avLst/>
        </a:prstGeom>
      </xdr:spPr>
    </xdr:pic>
    <xdr:clientData/>
  </xdr:twoCellAnchor>
  <xdr:twoCellAnchor editAs="oneCell">
    <xdr:from>
      <xdr:col>0</xdr:col>
      <xdr:colOff>9525</xdr:colOff>
      <xdr:row>239</xdr:row>
      <xdr:rowOff>19050</xdr:rowOff>
    </xdr:from>
    <xdr:to>
      <xdr:col>0</xdr:col>
      <xdr:colOff>7791364</xdr:colOff>
      <xdr:row>263</xdr:row>
      <xdr:rowOff>843</xdr:rowOff>
    </xdr:to>
    <xdr:pic>
      <xdr:nvPicPr>
        <xdr:cNvPr id="24" name="Grafik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3"/>
        <a:stretch>
          <a:fillRect/>
        </a:stretch>
      </xdr:blipFill>
      <xdr:spPr>
        <a:xfrm>
          <a:off x="9525" y="61722000"/>
          <a:ext cx="7781839" cy="4325193"/>
        </a:xfrm>
        <a:prstGeom prst="rect">
          <a:avLst/>
        </a:prstGeom>
      </xdr:spPr>
    </xdr:pic>
    <xdr:clientData/>
  </xdr:twoCellAnchor>
  <xdr:twoCellAnchor editAs="oneCell">
    <xdr:from>
      <xdr:col>0</xdr:col>
      <xdr:colOff>9526</xdr:colOff>
      <xdr:row>217</xdr:row>
      <xdr:rowOff>133350</xdr:rowOff>
    </xdr:from>
    <xdr:to>
      <xdr:col>5</xdr:col>
      <xdr:colOff>47625</xdr:colOff>
      <xdr:row>231</xdr:row>
      <xdr:rowOff>86072</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4"/>
        <a:stretch>
          <a:fillRect/>
        </a:stretch>
      </xdr:blipFill>
      <xdr:spPr>
        <a:xfrm>
          <a:off x="9526" y="57302400"/>
          <a:ext cx="10944224" cy="24863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31750"/>
          <a:ext cx="1232794" cy="54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31750"/>
          <a:ext cx="1232794" cy="54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31750"/>
          <a:ext cx="1232794" cy="540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4" name="Grafik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31750"/>
          <a:ext cx="1232794" cy="540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31750"/>
          <a:ext cx="1232794" cy="54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36</xdr:col>
      <xdr:colOff>539750</xdr:colOff>
      <xdr:row>0</xdr:row>
      <xdr:rowOff>63500</xdr:rowOff>
    </xdr:from>
    <xdr:to>
      <xdr:col>38</xdr:col>
      <xdr:colOff>581919</xdr:colOff>
      <xdr:row>1</xdr:row>
      <xdr:rowOff>174875</xdr:rowOff>
    </xdr:to>
    <xdr:pic>
      <xdr:nvPicPr>
        <xdr:cNvPr id="3" name="Grafik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71875" y="63500"/>
          <a:ext cx="1232794" cy="540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523875</xdr:colOff>
      <xdr:row>12</xdr:row>
      <xdr:rowOff>152400</xdr:rowOff>
    </xdr:from>
    <xdr:to>
      <xdr:col>4</xdr:col>
      <xdr:colOff>276225</xdr:colOff>
      <xdr:row>15</xdr:row>
      <xdr:rowOff>104775</xdr:rowOff>
    </xdr:to>
    <xdr:sp macro="" textlink="">
      <xdr:nvSpPr>
        <xdr:cNvPr id="2" name="Gestreifter Pfeil nach rechts 1">
          <a:extLst>
            <a:ext uri="{FF2B5EF4-FFF2-40B4-BE49-F238E27FC236}">
              <a16:creationId xmlns:a16="http://schemas.microsoft.com/office/drawing/2014/main" id="{00000000-0008-0000-1100-000002000000}"/>
            </a:ext>
          </a:extLst>
        </xdr:cNvPr>
        <xdr:cNvSpPr/>
      </xdr:nvSpPr>
      <xdr:spPr>
        <a:xfrm>
          <a:off x="2809875" y="2438400"/>
          <a:ext cx="514350" cy="523875"/>
        </a:xfrm>
        <a:prstGeom prst="striped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rgbClr val="FF0000"/>
            </a:solidFill>
          </a:endParaRPr>
        </a:p>
      </xdr:txBody>
    </xdr:sp>
    <xdr:clientData/>
  </xdr:twoCellAnchor>
  <xdr:twoCellAnchor>
    <xdr:from>
      <xdr:col>3</xdr:col>
      <xdr:colOff>466725</xdr:colOff>
      <xdr:row>28</xdr:row>
      <xdr:rowOff>142875</xdr:rowOff>
    </xdr:from>
    <xdr:to>
      <xdr:col>4</xdr:col>
      <xdr:colOff>219075</xdr:colOff>
      <xdr:row>31</xdr:row>
      <xdr:rowOff>95250</xdr:rowOff>
    </xdr:to>
    <xdr:sp macro="" textlink="">
      <xdr:nvSpPr>
        <xdr:cNvPr id="3" name="Gestreifter Pfeil nach rechts 2">
          <a:extLst>
            <a:ext uri="{FF2B5EF4-FFF2-40B4-BE49-F238E27FC236}">
              <a16:creationId xmlns:a16="http://schemas.microsoft.com/office/drawing/2014/main" id="{00000000-0008-0000-1100-000003000000}"/>
            </a:ext>
          </a:extLst>
        </xdr:cNvPr>
        <xdr:cNvSpPr/>
      </xdr:nvSpPr>
      <xdr:spPr>
        <a:xfrm>
          <a:off x="2752725" y="5476875"/>
          <a:ext cx="514350" cy="523875"/>
        </a:xfrm>
        <a:prstGeom prst="stripedRightArrow">
          <a:avLst/>
        </a:prstGeom>
        <a:solidFill>
          <a:srgbClr val="FF0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533400</xdr:colOff>
      <xdr:row>9</xdr:row>
      <xdr:rowOff>9525</xdr:rowOff>
    </xdr:from>
    <xdr:to>
      <xdr:col>6</xdr:col>
      <xdr:colOff>1333500</xdr:colOff>
      <xdr:row>10</xdr:row>
      <xdr:rowOff>123825</xdr:rowOff>
    </xdr:to>
    <xdr:sp macro="" textlink="">
      <xdr:nvSpPr>
        <xdr:cNvPr id="1031" name="Spinner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w="9525">
          <a:miter lim="800000"/>
          <a:headEnd/>
          <a:tailEnd/>
        </a:ln>
      </xdr:spPr>
    </xdr:sp>
    <xdr:clientData fLocksWithSheet="0" fPrintsWithSheet="0"/>
  </xdr:twoCellAnchor>
  <mc:AlternateContent xmlns:mc="http://schemas.openxmlformats.org/markup-compatibility/2006">
    <mc:Choice xmlns:a14="http://schemas.microsoft.com/office/drawing/2010/main" Requires="a14">
      <xdr:twoCellAnchor>
        <xdr:from>
          <xdr:col>6</xdr:col>
          <xdr:colOff>533400</xdr:colOff>
          <xdr:row>9</xdr:row>
          <xdr:rowOff>12700</xdr:rowOff>
        </xdr:from>
        <xdr:to>
          <xdr:col>6</xdr:col>
          <xdr:colOff>1333500</xdr:colOff>
          <xdr:row>10</xdr:row>
          <xdr:rowOff>127000</xdr:rowOff>
        </xdr:to>
        <xdr:sp macro="" textlink="">
          <xdr:nvSpPr>
            <xdr:cNvPr id="2049" name="Spinner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w="9525">
              <a:miter lim="800000"/>
              <a:headEnd/>
              <a:tailEnd/>
            </a:ln>
          </xdr:spPr>
        </xdr:sp>
        <xdr:clientData fLocksWithSheet="0" fPrintsWithSheet="0"/>
      </xdr:twoCellAnchor>
    </mc:Choice>
    <mc:Fallback/>
  </mc:AlternateContent>
  <xdr:twoCellAnchor editAs="oneCell">
    <xdr:from>
      <xdr:col>6</xdr:col>
      <xdr:colOff>1037584</xdr:colOff>
      <xdr:row>1</xdr:row>
      <xdr:rowOff>85725</xdr:rowOff>
    </xdr:from>
    <xdr:to>
      <xdr:col>8</xdr:col>
      <xdr:colOff>222503</xdr:colOff>
      <xdr:row>4</xdr:row>
      <xdr:rowOff>54225</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28984" y="276225"/>
          <a:ext cx="1232794" cy="54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464344</xdr:colOff>
      <xdr:row>1</xdr:row>
      <xdr:rowOff>119063</xdr:rowOff>
    </xdr:from>
    <xdr:to>
      <xdr:col>14</xdr:col>
      <xdr:colOff>744638</xdr:colOff>
      <xdr:row>4</xdr:row>
      <xdr:rowOff>87563</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5782" y="309563"/>
          <a:ext cx="1232794"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8" name="Grafik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6" name="Grafik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36</xdr:col>
      <xdr:colOff>539750</xdr:colOff>
      <xdr:row>0</xdr:row>
      <xdr:rowOff>31750</xdr:rowOff>
    </xdr:from>
    <xdr:to>
      <xdr:col>38</xdr:col>
      <xdr:colOff>581919</xdr:colOff>
      <xdr:row>1</xdr:row>
      <xdr:rowOff>143125</xdr:rowOff>
    </xdr:to>
    <xdr:pic>
      <xdr:nvPicPr>
        <xdr:cNvPr id="3" name="Grafik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29000" y="31750"/>
          <a:ext cx="1232794"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r\home$\hubert\Arbeitszeit-%20und%20Urlaub\Arbeitszeiterfassung%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Grunddaten"/>
      <sheetName val="Arbeitszeitmodell"/>
      <sheetName val="Januar"/>
      <sheetName val="Februar"/>
      <sheetName val="März"/>
      <sheetName val="April"/>
      <sheetName val="Mai"/>
      <sheetName val="Juni"/>
      <sheetName val="Juli"/>
      <sheetName val="August"/>
      <sheetName val="September"/>
      <sheetName val="Oktober"/>
      <sheetName val="November"/>
      <sheetName val="Dezemb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Bistum Passau">
      <a:dk1>
        <a:srgbClr val="000000"/>
      </a:dk1>
      <a:lt1>
        <a:srgbClr val="FFFFFF"/>
      </a:lt1>
      <a:dk2>
        <a:srgbClr val="39302A"/>
      </a:dk2>
      <a:lt2>
        <a:srgbClr val="F5F1E8"/>
      </a:lt2>
      <a:accent1>
        <a:srgbClr val="69C0BB"/>
      </a:accent1>
      <a:accent2>
        <a:srgbClr val="089698"/>
      </a:accent2>
      <a:accent3>
        <a:srgbClr val="F9B200"/>
      </a:accent3>
      <a:accent4>
        <a:srgbClr val="D40059"/>
      </a:accent4>
      <a:accent5>
        <a:srgbClr val="A5027D"/>
      </a:accent5>
      <a:accent6>
        <a:srgbClr val="1D87B2"/>
      </a:accent6>
      <a:hlink>
        <a:srgbClr val="58585A"/>
      </a:hlink>
      <a:folHlink>
        <a:srgbClr val="7F723D"/>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0070C0"/>
  </sheetPr>
  <dimension ref="A1:C267"/>
  <sheetViews>
    <sheetView showGridLines="0" zoomScaleNormal="100" workbookViewId="0">
      <selection activeCell="A11" sqref="A11"/>
    </sheetView>
  </sheetViews>
  <sheetFormatPr baseColWidth="10" defaultColWidth="11.453125" defaultRowHeight="14" x14ac:dyDescent="0.3"/>
  <cols>
    <col min="1" max="1" width="117.81640625" style="309" customWidth="1"/>
    <col min="2" max="16384" width="11.453125" style="208"/>
  </cols>
  <sheetData>
    <row r="1" spans="1:1" s="306" customFormat="1" ht="55" x14ac:dyDescent="0.4">
      <c r="A1" s="305" t="s">
        <v>324</v>
      </c>
    </row>
    <row r="4" spans="1:1" s="306" customFormat="1" ht="20" x14ac:dyDescent="0.4">
      <c r="A4" s="307" t="s">
        <v>0</v>
      </c>
    </row>
    <row r="5" spans="1:1" x14ac:dyDescent="0.3">
      <c r="A5" s="308"/>
    </row>
    <row r="6" spans="1:1" ht="210" x14ac:dyDescent="0.3">
      <c r="A6" s="309" t="s">
        <v>312</v>
      </c>
    </row>
    <row r="9" spans="1:1" s="306" customFormat="1" ht="20" x14ac:dyDescent="0.4">
      <c r="A9" s="307" t="s">
        <v>1</v>
      </c>
    </row>
    <row r="11" spans="1:1" ht="42" x14ac:dyDescent="0.3">
      <c r="A11" s="309" t="s">
        <v>2</v>
      </c>
    </row>
    <row r="13" spans="1:1" x14ac:dyDescent="0.3">
      <c r="A13" s="310" t="s">
        <v>3</v>
      </c>
    </row>
    <row r="14" spans="1:1" ht="98" x14ac:dyDescent="0.3">
      <c r="A14" s="309" t="s">
        <v>287</v>
      </c>
    </row>
    <row r="36" spans="1:1" ht="15.5" x14ac:dyDescent="0.3">
      <c r="A36" s="311" t="s">
        <v>4</v>
      </c>
    </row>
    <row r="37" spans="1:1" ht="42" x14ac:dyDescent="0.3">
      <c r="A37" s="309" t="s">
        <v>5</v>
      </c>
    </row>
    <row r="45" spans="1:1" ht="15.5" x14ac:dyDescent="0.3">
      <c r="A45" s="311" t="s">
        <v>6</v>
      </c>
    </row>
    <row r="46" spans="1:1" ht="84" x14ac:dyDescent="0.3">
      <c r="A46" s="309" t="s">
        <v>7</v>
      </c>
    </row>
    <row r="52" spans="1:1" x14ac:dyDescent="0.3">
      <c r="A52" s="309" t="s">
        <v>8</v>
      </c>
    </row>
    <row r="60" spans="1:1" x14ac:dyDescent="0.3">
      <c r="A60" s="310" t="s">
        <v>9</v>
      </c>
    </row>
    <row r="61" spans="1:1" ht="28" x14ac:dyDescent="0.3">
      <c r="A61" s="309" t="s">
        <v>10</v>
      </c>
    </row>
    <row r="70" spans="1:1" x14ac:dyDescent="0.3">
      <c r="A70" s="309" t="s">
        <v>11</v>
      </c>
    </row>
    <row r="79" spans="1:1" x14ac:dyDescent="0.3">
      <c r="A79" s="310" t="s">
        <v>12</v>
      </c>
    </row>
    <row r="80" spans="1:1" x14ac:dyDescent="0.3">
      <c r="A80" s="309" t="s">
        <v>13</v>
      </c>
    </row>
    <row r="88" spans="1:1" x14ac:dyDescent="0.3">
      <c r="A88" s="310" t="s">
        <v>14</v>
      </c>
    </row>
    <row r="89" spans="1:1" x14ac:dyDescent="0.3">
      <c r="A89" s="309" t="s">
        <v>313</v>
      </c>
    </row>
    <row r="111" spans="1:1" x14ac:dyDescent="0.3">
      <c r="A111" s="310" t="s">
        <v>15</v>
      </c>
    </row>
    <row r="112" spans="1:1" ht="42" x14ac:dyDescent="0.3">
      <c r="A112" s="309" t="s">
        <v>314</v>
      </c>
    </row>
    <row r="140" spans="1:1" s="306" customFormat="1" ht="20" x14ac:dyDescent="0.4">
      <c r="A140" s="307" t="s">
        <v>16</v>
      </c>
    </row>
    <row r="142" spans="1:1" ht="70" x14ac:dyDescent="0.3">
      <c r="A142" s="312" t="s">
        <v>288</v>
      </c>
    </row>
    <row r="144" spans="1:1" ht="28" x14ac:dyDescent="0.3">
      <c r="A144" s="309" t="s">
        <v>290</v>
      </c>
    </row>
    <row r="146" spans="1:1" ht="84" x14ac:dyDescent="0.3">
      <c r="A146" s="309" t="s">
        <v>289</v>
      </c>
    </row>
    <row r="148" spans="1:1" x14ac:dyDescent="0.3">
      <c r="A148" s="309" t="s">
        <v>17</v>
      </c>
    </row>
    <row r="171" spans="1:1" s="306" customFormat="1" ht="20" x14ac:dyDescent="0.4">
      <c r="A171" s="307" t="s">
        <v>291</v>
      </c>
    </row>
    <row r="172" spans="1:1" s="306" customFormat="1" ht="20" x14ac:dyDescent="0.4">
      <c r="A172" s="307"/>
    </row>
    <row r="173" spans="1:1" ht="28" x14ac:dyDescent="0.3">
      <c r="A173" s="309" t="s">
        <v>21</v>
      </c>
    </row>
    <row r="181" spans="1:3" ht="112" x14ac:dyDescent="0.3">
      <c r="A181" s="309" t="s">
        <v>325</v>
      </c>
    </row>
    <row r="183" spans="1:3" ht="28" x14ac:dyDescent="0.3">
      <c r="A183" s="309" t="s">
        <v>22</v>
      </c>
    </row>
    <row r="185" spans="1:3" ht="28" x14ac:dyDescent="0.3">
      <c r="A185" s="309" t="s">
        <v>326</v>
      </c>
      <c r="B185" s="313"/>
      <c r="C185" s="313"/>
    </row>
    <row r="186" spans="1:3" x14ac:dyDescent="0.3">
      <c r="A186" s="309" t="s">
        <v>327</v>
      </c>
      <c r="B186" s="313"/>
      <c r="C186" s="313"/>
    </row>
    <row r="187" spans="1:3" ht="60.75" customHeight="1" x14ac:dyDescent="0.3">
      <c r="A187" s="309" t="s">
        <v>328</v>
      </c>
      <c r="B187" s="313"/>
      <c r="C187" s="313"/>
    </row>
    <row r="188" spans="1:3" ht="60" customHeight="1" x14ac:dyDescent="0.3">
      <c r="A188" s="309" t="s">
        <v>329</v>
      </c>
      <c r="B188" s="313"/>
      <c r="C188" s="313"/>
    </row>
    <row r="189" spans="1:3" ht="42" x14ac:dyDescent="0.3">
      <c r="A189" s="309" t="s">
        <v>330</v>
      </c>
    </row>
    <row r="190" spans="1:3" ht="28" x14ac:dyDescent="0.3">
      <c r="A190" s="309" t="s">
        <v>331</v>
      </c>
      <c r="B190" s="313"/>
      <c r="C190" s="313"/>
    </row>
    <row r="191" spans="1:3" ht="28" x14ac:dyDescent="0.3">
      <c r="A191" s="309" t="s">
        <v>332</v>
      </c>
      <c r="B191" s="313"/>
      <c r="C191" s="313"/>
    </row>
    <row r="192" spans="1:3" ht="28" x14ac:dyDescent="0.3">
      <c r="A192" s="309" t="s">
        <v>333</v>
      </c>
      <c r="B192" s="313"/>
      <c r="C192" s="313"/>
    </row>
    <row r="193" spans="1:3" x14ac:dyDescent="0.3">
      <c r="A193" s="309" t="s">
        <v>334</v>
      </c>
      <c r="B193" s="313"/>
      <c r="C193" s="313"/>
    </row>
    <row r="194" spans="1:3" x14ac:dyDescent="0.3">
      <c r="A194" s="309" t="s">
        <v>335</v>
      </c>
      <c r="B194" s="313"/>
      <c r="C194" s="313"/>
    </row>
    <row r="195" spans="1:3" x14ac:dyDescent="0.3">
      <c r="A195" s="309" t="s">
        <v>336</v>
      </c>
      <c r="B195" s="313"/>
      <c r="C195" s="313"/>
    </row>
    <row r="196" spans="1:3" x14ac:dyDescent="0.3">
      <c r="A196" s="309" t="s">
        <v>337</v>
      </c>
      <c r="B196" s="313"/>
      <c r="C196" s="313"/>
    </row>
    <row r="197" spans="1:3" ht="15.75" customHeight="1" x14ac:dyDescent="0.3">
      <c r="A197" s="309" t="s">
        <v>338</v>
      </c>
      <c r="B197" s="313"/>
      <c r="C197" s="313"/>
    </row>
    <row r="198" spans="1:3" ht="28" x14ac:dyDescent="0.3">
      <c r="A198" s="309" t="s">
        <v>339</v>
      </c>
      <c r="B198" s="313"/>
      <c r="C198" s="313"/>
    </row>
    <row r="199" spans="1:3" ht="30.75" customHeight="1" x14ac:dyDescent="0.3">
      <c r="A199" s="309" t="s">
        <v>340</v>
      </c>
      <c r="B199" s="313"/>
      <c r="C199" s="313"/>
    </row>
    <row r="200" spans="1:3" ht="30.75" customHeight="1" x14ac:dyDescent="0.3">
      <c r="B200" s="313"/>
      <c r="C200" s="313"/>
    </row>
    <row r="210" spans="1:1" ht="42" x14ac:dyDescent="0.3">
      <c r="A210" s="309" t="s">
        <v>341</v>
      </c>
    </row>
    <row r="212" spans="1:1" ht="42" x14ac:dyDescent="0.3">
      <c r="A212" s="309" t="s">
        <v>23</v>
      </c>
    </row>
    <row r="214" spans="1:1" ht="28" x14ac:dyDescent="0.3">
      <c r="A214" s="309" t="s">
        <v>296</v>
      </c>
    </row>
    <row r="216" spans="1:1" ht="112" x14ac:dyDescent="0.3">
      <c r="A216" s="309" t="s">
        <v>24</v>
      </c>
    </row>
    <row r="235" spans="1:1" x14ac:dyDescent="0.3">
      <c r="A235" s="308" t="s">
        <v>294</v>
      </c>
    </row>
    <row r="236" spans="1:1" ht="154" x14ac:dyDescent="0.3">
      <c r="A236" s="309" t="s">
        <v>301</v>
      </c>
    </row>
    <row r="238" spans="1:1" s="306" customFormat="1" ht="20" x14ac:dyDescent="0.4">
      <c r="A238" s="307" t="s">
        <v>293</v>
      </c>
    </row>
    <row r="239" spans="1:1" s="306" customFormat="1" ht="20" x14ac:dyDescent="0.4">
      <c r="A239" s="314" t="s">
        <v>18</v>
      </c>
    </row>
    <row r="265" spans="1:1" s="306" customFormat="1" ht="20" x14ac:dyDescent="0.4">
      <c r="A265" s="315" t="s">
        <v>19</v>
      </c>
    </row>
    <row r="267" spans="1:1" ht="28" x14ac:dyDescent="0.3">
      <c r="A267" s="309" t="s">
        <v>20</v>
      </c>
    </row>
  </sheetData>
  <sheetProtection sheet="1" selectLockedCells="1"/>
  <pageMargins left="0.7" right="0.7" top="0.78740157499999996" bottom="0.78740157499999996" header="0.3" footer="0.3"/>
  <pageSetup paperSize="9" orientation="portrait" r:id="rId1"/>
  <rowBreaks count="7" manualBreakCount="7">
    <brk id="7" max="16383" man="1"/>
    <brk id="42" man="1"/>
    <brk id="78" man="1"/>
    <brk id="110" man="1"/>
    <brk id="139" man="1"/>
    <brk id="237" man="1"/>
    <brk id="20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8">
    <tabColor theme="7" tint="0.79998168889431442"/>
    <pageSetUpPr fitToPage="1"/>
  </sheetPr>
  <dimension ref="A1:AN68"/>
  <sheetViews>
    <sheetView showGridLines="0" zoomScale="75" zoomScaleNormal="75" workbookViewId="0">
      <pane ySplit="8" topLeftCell="A21"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178</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c r="AL8" s="278" t="s">
        <v>159</v>
      </c>
      <c r="AM8" s="278" t="s">
        <v>160</v>
      </c>
      <c r="AN8" s="330"/>
    </row>
    <row r="9" spans="1:40" s="294" customFormat="1" ht="21" customHeight="1" x14ac:dyDescent="0.35">
      <c r="A9" s="331">
        <f>WEEKNUM($C9)</f>
        <v>23</v>
      </c>
      <c r="B9" s="283" t="str">
        <f>IF(WEEKDAY($C9,1)=1,"So.",IF(WEEKDAY($C9,1)=2,"Mo.",IF(WEEKDAY($C9,1)=3,"Di.",IF(WEEKDAY($C9,1)=4,"Mi.",IF(WEEKDAY($C9,1)=5,"Do.",IF(WEEKDAY($C9,1)=6,"Fr.","Sa."))))))</f>
        <v>So.</v>
      </c>
      <c r="C9" s="295">
        <f>DATE(Grunddaten!G9,6,1)</f>
        <v>45809</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-795.60000000000014</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8" si="3">WEEKNUM($C10)</f>
        <v>23</v>
      </c>
      <c r="B10" s="283" t="str">
        <f t="shared" ref="B10:B38" si="4">IF(WEEKDAY($C10,1)=1,"So.",IF(WEEKDAY($C10,1)=2,"Mo.",IF(WEEKDAY($C10,1)=3,"Di.",IF(WEEKDAY($C10,1)=4,"Mi.",IF(WEEKDAY($C10,1)=5,"Do.",IF(WEEKDAY($C10,1)=6,"Fr.","Sa."))))))</f>
        <v>Mo.</v>
      </c>
      <c r="C10" s="295">
        <f>C9+1</f>
        <v>45810</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-803.40000000000009</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23</v>
      </c>
      <c r="B11" s="283" t="str">
        <f t="shared" si="4"/>
        <v>Di.</v>
      </c>
      <c r="C11" s="295">
        <f t="shared" ref="C11:C38" si="10">C10+1</f>
        <v>45811</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-811.2</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23</v>
      </c>
      <c r="B12" s="283" t="str">
        <f t="shared" si="4"/>
        <v>Mi.</v>
      </c>
      <c r="C12" s="295">
        <f t="shared" si="10"/>
        <v>45812</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-819</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23</v>
      </c>
      <c r="B13" s="283" t="str">
        <f t="shared" si="4"/>
        <v>Do.</v>
      </c>
      <c r="C13" s="295">
        <f t="shared" si="10"/>
        <v>45813</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-826.8</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23</v>
      </c>
      <c r="B14" s="283" t="str">
        <f t="shared" si="4"/>
        <v>Fr.</v>
      </c>
      <c r="C14" s="295">
        <f t="shared" si="10"/>
        <v>45814</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-834.59999999999991</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23</v>
      </c>
      <c r="B15" s="283" t="str">
        <f t="shared" si="4"/>
        <v>Sa.</v>
      </c>
      <c r="C15" s="295">
        <f t="shared" si="10"/>
        <v>45815</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v>
      </c>
      <c r="AE15" s="290">
        <f t="shared" si="11"/>
        <v>-834.59999999999991</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24</v>
      </c>
      <c r="B16" s="283" t="str">
        <f t="shared" si="4"/>
        <v>So.</v>
      </c>
      <c r="C16" s="295">
        <f t="shared" si="10"/>
        <v>45816</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v>
      </c>
      <c r="AE16" s="290">
        <f t="shared" si="11"/>
        <v>-834.59999999999991</v>
      </c>
      <c r="AF16" s="292" t="str">
        <f>IFERROR(VLOOKUP($C16,Grunddaten!$F$36:$G$59,2,0),"")</f>
        <v>Pfingstsonntag</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24</v>
      </c>
      <c r="B17" s="283" t="str">
        <f t="shared" si="4"/>
        <v>Mo.</v>
      </c>
      <c r="C17" s="295">
        <f t="shared" si="10"/>
        <v>45817</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v>
      </c>
      <c r="AE17" s="290">
        <f t="shared" si="11"/>
        <v>-834.59999999999991</v>
      </c>
      <c r="AF17" s="292" t="str">
        <f>IFERROR(VLOOKUP($C17,Grunddaten!$F$36:$G$59,2,0),"")</f>
        <v>Pfingstmontag</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24</v>
      </c>
      <c r="B18" s="283" t="str">
        <f t="shared" si="4"/>
        <v>Di.</v>
      </c>
      <c r="C18" s="295">
        <f t="shared" si="10"/>
        <v>45818</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-842.39999999999986</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24</v>
      </c>
      <c r="B19" s="283" t="str">
        <f t="shared" si="4"/>
        <v>Mi.</v>
      </c>
      <c r="C19" s="295">
        <f t="shared" si="10"/>
        <v>45819</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-850.19999999999982</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24</v>
      </c>
      <c r="B20" s="283" t="str">
        <f t="shared" si="4"/>
        <v>Do.</v>
      </c>
      <c r="C20" s="295">
        <f t="shared" si="10"/>
        <v>45820</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-857.99999999999977</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24</v>
      </c>
      <c r="B21" s="283" t="str">
        <f t="shared" si="4"/>
        <v>Fr.</v>
      </c>
      <c r="C21" s="295">
        <f t="shared" si="10"/>
        <v>45821</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-865.79999999999973</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24</v>
      </c>
      <c r="B22" s="283" t="str">
        <f t="shared" si="4"/>
        <v>Sa.</v>
      </c>
      <c r="C22" s="295">
        <f t="shared" si="10"/>
        <v>45822</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v>
      </c>
      <c r="AE22" s="290">
        <f t="shared" si="11"/>
        <v>-865.79999999999973</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25</v>
      </c>
      <c r="B23" s="283" t="str">
        <f t="shared" si="4"/>
        <v>So.</v>
      </c>
      <c r="C23" s="295">
        <f t="shared" si="10"/>
        <v>45823</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v>
      </c>
      <c r="AE23" s="290">
        <f t="shared" si="11"/>
        <v>-865.79999999999973</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25</v>
      </c>
      <c r="B24" s="283" t="str">
        <f t="shared" si="4"/>
        <v>Mo.</v>
      </c>
      <c r="C24" s="295">
        <f t="shared" si="10"/>
        <v>45824</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-873.59999999999968</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25</v>
      </c>
      <c r="B25" s="283" t="str">
        <f t="shared" si="4"/>
        <v>Di.</v>
      </c>
      <c r="C25" s="295">
        <f t="shared" si="10"/>
        <v>45825</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-881.39999999999964</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25</v>
      </c>
      <c r="B26" s="283" t="str">
        <f t="shared" si="4"/>
        <v>Mi.</v>
      </c>
      <c r="C26" s="295">
        <f t="shared" si="10"/>
        <v>45826</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-889.19999999999959</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25</v>
      </c>
      <c r="B27" s="283" t="str">
        <f t="shared" si="4"/>
        <v>Do.</v>
      </c>
      <c r="C27" s="295">
        <f t="shared" si="10"/>
        <v>45827</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v>
      </c>
      <c r="AE27" s="290">
        <f t="shared" si="11"/>
        <v>-889.19999999999959</v>
      </c>
      <c r="AF27" s="292" t="str">
        <f>IFERROR(VLOOKUP($C27,Grunddaten!$F$36:$G$59,2,0),"")</f>
        <v>Fronleichnam</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25</v>
      </c>
      <c r="B28" s="283" t="str">
        <f t="shared" si="4"/>
        <v>Fr.</v>
      </c>
      <c r="C28" s="295">
        <f t="shared" si="10"/>
        <v>45828</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-896.99999999999955</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25</v>
      </c>
      <c r="B29" s="283" t="str">
        <f t="shared" si="4"/>
        <v>Sa.</v>
      </c>
      <c r="C29" s="295">
        <f t="shared" si="10"/>
        <v>45829</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v>
      </c>
      <c r="AE29" s="290">
        <f t="shared" si="11"/>
        <v>-896.99999999999955</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26</v>
      </c>
      <c r="B30" s="283" t="str">
        <f t="shared" si="4"/>
        <v>So.</v>
      </c>
      <c r="C30" s="295">
        <f t="shared" si="10"/>
        <v>45830</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v>
      </c>
      <c r="AE30" s="290">
        <f t="shared" si="11"/>
        <v>-896.99999999999955</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26</v>
      </c>
      <c r="B31" s="283" t="str">
        <f t="shared" si="4"/>
        <v>Mo.</v>
      </c>
      <c r="C31" s="295">
        <f t="shared" si="10"/>
        <v>45831</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-904.7999999999995</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26</v>
      </c>
      <c r="B32" s="283" t="str">
        <f t="shared" si="4"/>
        <v>Di.</v>
      </c>
      <c r="C32" s="295">
        <f t="shared" si="10"/>
        <v>45832</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-912.59999999999945</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26</v>
      </c>
      <c r="B33" s="283" t="str">
        <f t="shared" si="4"/>
        <v>Mi.</v>
      </c>
      <c r="C33" s="295">
        <f t="shared" si="10"/>
        <v>45833</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-920.39999999999941</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26</v>
      </c>
      <c r="B34" s="283" t="str">
        <f t="shared" si="4"/>
        <v>Do.</v>
      </c>
      <c r="C34" s="295">
        <f t="shared" si="10"/>
        <v>45834</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-928.19999999999936</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26</v>
      </c>
      <c r="B35" s="283" t="str">
        <f t="shared" si="4"/>
        <v>Fr.</v>
      </c>
      <c r="C35" s="295">
        <f t="shared" si="10"/>
        <v>45835</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-935.99999999999932</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26</v>
      </c>
      <c r="B36" s="283" t="str">
        <f t="shared" si="4"/>
        <v>Sa.</v>
      </c>
      <c r="C36" s="295">
        <f t="shared" si="10"/>
        <v>45836</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v>
      </c>
      <c r="AE36" s="290">
        <f t="shared" si="11"/>
        <v>-935.99999999999932</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27</v>
      </c>
      <c r="B37" s="283" t="str">
        <f t="shared" si="4"/>
        <v>So.</v>
      </c>
      <c r="C37" s="295">
        <f t="shared" si="10"/>
        <v>45837</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v>
      </c>
      <c r="AE37" s="290">
        <f t="shared" si="11"/>
        <v>-935.99999999999932</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15" customHeight="1" x14ac:dyDescent="0.35">
      <c r="A38" s="331">
        <f t="shared" si="3"/>
        <v>27</v>
      </c>
      <c r="B38" s="283" t="str">
        <f t="shared" si="4"/>
        <v>Mo.</v>
      </c>
      <c r="C38" s="295">
        <f t="shared" si="10"/>
        <v>45838</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-943.79999999999927</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hidden="1" customHeight="1" x14ac:dyDescent="0.35">
      <c r="A39" s="331"/>
      <c r="B39" s="283"/>
      <c r="C39" s="295"/>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-943.79999999999927</v>
      </c>
      <c r="AF39" s="292" t="str">
        <f>IFERROR(VLOOKUP($C39,Grunddaten!$F$36:$G$59,2,0),"")</f>
        <v/>
      </c>
      <c r="AG39" s="293"/>
      <c r="AH39" s="286">
        <v>0</v>
      </c>
      <c r="AI39" s="291">
        <f t="shared" si="8"/>
        <v>0</v>
      </c>
      <c r="AJ39" s="292"/>
      <c r="AK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6.1750000000000016</v>
      </c>
      <c r="AB40" s="336">
        <f t="shared" si="14"/>
        <v>0</v>
      </c>
      <c r="AC40" s="336">
        <f t="shared" si="14"/>
        <v>0</v>
      </c>
      <c r="AD40" s="336">
        <f>SUM(AD9:AD39)</f>
        <v>6.1750000000000016</v>
      </c>
      <c r="AE40" s="338">
        <f>(Z40-AD40)*24+I44</f>
        <v>-943.80000000000018</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JUNI</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6.1750000000000016</v>
      </c>
      <c r="I43" s="430">
        <f>(Z40-AD40)*24</f>
        <v>-148.20000000000005</v>
      </c>
      <c r="J43" s="431"/>
      <c r="L43" s="208" t="s">
        <v>163</v>
      </c>
      <c r="P43" s="213">
        <f>'AZ-Modell'!H9</f>
        <v>5</v>
      </c>
      <c r="U43" s="214"/>
      <c r="V43" s="214"/>
      <c r="W43" s="214"/>
      <c r="AE43" s="254"/>
      <c r="AG43" s="457" t="s">
        <v>32</v>
      </c>
      <c r="AH43" s="458"/>
      <c r="AI43" s="297"/>
      <c r="AJ43" s="297"/>
      <c r="AK43" s="298">
        <f>Mai!AM43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33.150000000000006</v>
      </c>
      <c r="I44" s="430">
        <f>Mai!I46</f>
        <v>-795.60000000000014</v>
      </c>
      <c r="J44" s="431"/>
      <c r="L44" s="208" t="s">
        <v>164</v>
      </c>
      <c r="P44" s="220">
        <f>'AZ-Modell'!H11</f>
        <v>1.625</v>
      </c>
      <c r="U44" s="214"/>
      <c r="V44" s="214"/>
      <c r="W44" s="214"/>
      <c r="AE44" s="254"/>
      <c r="AG44" s="457" t="s">
        <v>41</v>
      </c>
      <c r="AH44" s="458"/>
      <c r="AI44" s="297"/>
      <c r="AJ44" s="297"/>
      <c r="AK44" s="298">
        <f>Mai!AM44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Mai!AM45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39.32500000000001</v>
      </c>
      <c r="I46" s="432">
        <f>SUM(I43:I45)</f>
        <v>-943.80000000000018</v>
      </c>
      <c r="J46" s="433"/>
      <c r="L46" s="450" t="str">
        <f ca="1">IF(P46&lt;&gt;"","Hinweis:","")</f>
        <v/>
      </c>
      <c r="M46" s="450"/>
      <c r="N46" s="450"/>
      <c r="O46" s="450"/>
      <c r="P46" s="475" t="str">
        <f ca="1">IF(TODAY()&gt;=C38,IF((I46/24)&gt;P44,"Ihr Zeitguthaben ist größer als die mit Ihnen vereinbarte Wochenarbeitszeit. Bitte setzen Sie sich mit Ihrem Vorgesetzten in Verbindung.",IF((I46/24)&lt;0,"Es liegt ein Zeitdefizit vor. Bitte setzen Sie sich mit Ihrem Vorgesetzten in Verbindung.","Ihr Zeitguthaben ist in Ordnung")),"")</f>
        <v/>
      </c>
      <c r="Q46" s="475"/>
      <c r="R46" s="475"/>
      <c r="S46" s="475"/>
      <c r="T46" s="475"/>
      <c r="U46" s="475"/>
      <c r="V46" s="475"/>
      <c r="W46" s="475"/>
      <c r="X46" s="475"/>
      <c r="Y46" s="475"/>
      <c r="Z46" s="475"/>
      <c r="AA46" s="475"/>
      <c r="AB46" s="475"/>
      <c r="AC46" s="475"/>
      <c r="AD46" s="475"/>
      <c r="AE46" s="475"/>
      <c r="AF46" s="475"/>
      <c r="AG46" s="323" t="s">
        <v>43</v>
      </c>
      <c r="AH46" s="299"/>
      <c r="AI46" s="297"/>
      <c r="AJ46" s="297"/>
      <c r="AK46" s="298">
        <f>Mai!AM46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Mai!AM47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Mai!AM48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I49-Mai!I53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6.1750000000000016</v>
      </c>
      <c r="H56" s="268">
        <f>(F56-G56)*24</f>
        <v>-148.20000000000005</v>
      </c>
      <c r="I56" s="423">
        <f>Mai!I56+H56</f>
        <v>-943.80000000000018</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Mai!I57+H57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Mai!I58+H58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I44:J44"/>
    <mergeCell ref="I46:J46"/>
    <mergeCell ref="I42:J42"/>
    <mergeCell ref="I43:J43"/>
    <mergeCell ref="AG43:AH43"/>
    <mergeCell ref="AG44:AH44"/>
    <mergeCell ref="L46:O46"/>
    <mergeCell ref="P46:AF47"/>
    <mergeCell ref="AA7:AD7"/>
    <mergeCell ref="AH4:AJ4"/>
    <mergeCell ref="AG48:AH48"/>
    <mergeCell ref="AG47:AH47"/>
    <mergeCell ref="A1:AN1"/>
    <mergeCell ref="W7:X7"/>
    <mergeCell ref="AK7:AN7"/>
    <mergeCell ref="B7:C7"/>
    <mergeCell ref="D7:H7"/>
    <mergeCell ref="I7:M7"/>
    <mergeCell ref="N7:R7"/>
    <mergeCell ref="S7:V7"/>
    <mergeCell ref="A42:G42"/>
    <mergeCell ref="A43:G43"/>
    <mergeCell ref="A44:G44"/>
    <mergeCell ref="A46:G46"/>
    <mergeCell ref="A48:H48"/>
    <mergeCell ref="A49:H49"/>
    <mergeCell ref="A50:H50"/>
    <mergeCell ref="A51:H51"/>
    <mergeCell ref="A53:H53"/>
    <mergeCell ref="I48:J48"/>
    <mergeCell ref="I49:J49"/>
    <mergeCell ref="I50:J50"/>
    <mergeCell ref="I51:J51"/>
    <mergeCell ref="I53:J53"/>
    <mergeCell ref="B55:E55"/>
    <mergeCell ref="B56:E56"/>
    <mergeCell ref="B57:E57"/>
    <mergeCell ref="B58:E58"/>
    <mergeCell ref="I55:J55"/>
    <mergeCell ref="I56:J56"/>
    <mergeCell ref="I57:J57"/>
    <mergeCell ref="I58:J58"/>
  </mergeCells>
  <conditionalFormatting sqref="A9:AN39">
    <cfRule type="expression" priority="1">
      <formula>AND(WEEKDAY($C9)&gt;1,WEEKDAY($C9)&lt;7)</formula>
    </cfRule>
  </conditionalFormatting>
  <conditionalFormatting sqref="H9:H39">
    <cfRule type="expression" dxfId="78"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76"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74"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69"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900-000000000000}">
      <formula1>0</formula1>
      <formula2>0.333333333333333</formula2>
    </dataValidation>
    <dataValidation type="list" allowBlank="1" showInputMessage="1" sqref="D9:D39 N9:N39 I9:I39" xr:uid="{00000000-0002-0000-0900-000001000000}">
      <formula1>"1,2,3"</formula1>
    </dataValidation>
    <dataValidation type="list" allowBlank="1" showInputMessage="1" showErrorMessage="1" sqref="W9:W39" xr:uid="{00000000-0002-0000-09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B0224D08-35D5-45CB-98C9-8C0B29FA182D}">
            <xm:f>OR(COUNTIF(Grunddaten!$F$35:$F$58,$C10)&gt;0,WEEKDAY($C10)=1,WEEKDAY($C10)=7)</xm:f>
            <x14:dxf>
              <fill>
                <patternFill>
                  <bgColor theme="4" tint="0.79998168889431442"/>
                </patternFill>
              </fill>
              <border>
                <top style="thin">
                  <color theme="0"/>
                </top>
                <bottom style="thin">
                  <color theme="0"/>
                </bottom>
              </border>
            </x14:dxf>
          </x14:cfRule>
          <xm:sqref>D10:G39</xm:sqref>
        </x14:conditionalFormatting>
        <x14:conditionalFormatting xmlns:xm="http://schemas.microsoft.com/office/excel/2006/main">
          <x14:cfRule type="expression" priority="4" id="{2CA7DDD1-8F02-472A-BE65-0C78D964B6A3}">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3" id="{3F99BD46-5700-4345-9751-69D357A0A08D}">
            <xm:f>OR(COUNTIF(Grunddaten!$F$35:$F$58,$C10)&gt;0,WEEKDAY($C10)=1,WEEKDAY($C10)=7)</xm:f>
            <x14:dxf>
              <fill>
                <patternFill>
                  <bgColor theme="4" tint="0.79998168889431442"/>
                </patternFill>
              </fill>
              <border>
                <top style="thin">
                  <color theme="0"/>
                </top>
                <bottom style="thin">
                  <color theme="0"/>
                </bottom>
              </border>
            </x14:dxf>
          </x14:cfRule>
          <xm:sqref>H10:N39</xm:sqref>
        </x14:conditionalFormatting>
        <x14:conditionalFormatting xmlns:xm="http://schemas.microsoft.com/office/excel/2006/main">
          <x14:cfRule type="expression" priority="15" id="{A8E70765-D723-4C6B-B32C-C274D0D62CFC}">
            <xm:f>OR(COUNTIF(Grunddaten!$F$35:$F$58,$C9)&gt;0,WEEKDAY($C9)=1,WEEKDAY($C9)=7)</xm:f>
            <x14:dxf>
              <fill>
                <patternFill>
                  <bgColor theme="4" tint="0.79998168889431442"/>
                </patternFill>
              </fill>
              <border>
                <top style="thin">
                  <color theme="0"/>
                </top>
                <bottom style="thin">
                  <color theme="0"/>
                </bottom>
              </border>
            </x14:dxf>
          </x14:cfRule>
          <xm:sqref>O9:AN9 AK10:AK38</xm:sqref>
        </x14:conditionalFormatting>
        <x14:conditionalFormatting xmlns:xm="http://schemas.microsoft.com/office/excel/2006/main">
          <x14:cfRule type="expression" priority="16" id="{B329D9A1-B5BC-4980-A88F-9005DC480992}">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A2434A83-79FA-4478-88F1-E20E470F99BF}">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37" id="{02B29730-96A9-4096-98F2-7AE8B4BF4CE0}">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7" id="{2D9A74AF-643F-4618-BFEB-D3649EB02F55}">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03000000}">
          <x14:formula1>
            <xm:f>Grunddaten!$B$16:$B$21</xm:f>
          </x14:formula1>
          <xm:sqref>S9:S39</xm:sqref>
        </x14:dataValidation>
        <x14:dataValidation type="list" allowBlank="1" showInputMessage="1" xr:uid="{00000000-0002-0000-0900-000004000000}">
          <x14:formula1>
            <xm:f>Grunddaten!$F$15:$F$32</xm:f>
          </x14:formula1>
          <xm:sqref>AF39</xm:sqref>
        </x14:dataValidation>
        <x14:dataValidation type="list" allowBlank="1" showInputMessage="1" xr:uid="{00000000-0002-0000-0900-000005000000}">
          <x14:formula1>
            <xm:f>Grunddaten!$F$63:$F$92</xm:f>
          </x14:formula1>
          <xm:sqref>AG39</xm:sqref>
        </x14:dataValidation>
        <x14:dataValidation type="list" allowBlank="1" showInputMessage="1" xr:uid="{00000000-0002-0000-0900-000006000000}">
          <x14:formula1>
            <xm:f>Grunddaten!$F$14:$F$32</xm:f>
          </x14:formula1>
          <xm:sqref>AF9:AF38</xm:sqref>
        </x14:dataValidation>
        <x14:dataValidation type="list" allowBlank="1" showInputMessage="1" xr:uid="{00000000-0002-0000-0900-000007000000}">
          <x14:formula1>
            <xm:f>Grunddaten!$F$62:$F$92</xm:f>
          </x14:formula1>
          <xm:sqref>AG9:AG38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9">
    <tabColor theme="7" tint="0.79998168889431442"/>
    <pageSetUpPr fitToPage="1"/>
  </sheetPr>
  <dimension ref="A1:AN68"/>
  <sheetViews>
    <sheetView showGridLines="0" zoomScale="75" zoomScaleNormal="75" workbookViewId="0">
      <pane ySplit="8" topLeftCell="A24"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179</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27</v>
      </c>
      <c r="B9" s="283" t="str">
        <f>IF(WEEKDAY($C9,1)=1,"So.",IF(WEEKDAY($C9,1)=2,"Mo.",IF(WEEKDAY($C9,1)=3,"Di.",IF(WEEKDAY($C9,1)=4,"Mi.",IF(WEEKDAY($C9,1)=5,"Do.",IF(WEEKDAY($C9,1)=6,"Fr.","Sa."))))))</f>
        <v>Di.</v>
      </c>
      <c r="C9" s="295">
        <f>DATE(Grunddaten!G9,7,1)</f>
        <v>45839</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-951.60000000000014</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27</v>
      </c>
      <c r="B10" s="283" t="str">
        <f t="shared" ref="B10:B39" si="4">IF(WEEKDAY($C10,1)=1,"So.",IF(WEEKDAY($C10,1)=2,"Mo.",IF(WEEKDAY($C10,1)=3,"Di.",IF(WEEKDAY($C10,1)=4,"Mi.",IF(WEEKDAY($C10,1)=5,"Do.",IF(WEEKDAY($C10,1)=6,"Fr.","Sa."))))))</f>
        <v>Mi.</v>
      </c>
      <c r="C10" s="295">
        <f>C9+1</f>
        <v>45840</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-959.40000000000009</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27</v>
      </c>
      <c r="B11" s="283" t="str">
        <f t="shared" si="4"/>
        <v>Do.</v>
      </c>
      <c r="C11" s="295">
        <f t="shared" ref="C11:C39" si="10">C10+1</f>
        <v>45841</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-967.2</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27</v>
      </c>
      <c r="B12" s="283" t="str">
        <f t="shared" si="4"/>
        <v>Fr.</v>
      </c>
      <c r="C12" s="295">
        <f t="shared" si="10"/>
        <v>45842</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-975</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27</v>
      </c>
      <c r="B13" s="283" t="str">
        <f t="shared" si="4"/>
        <v>Sa.</v>
      </c>
      <c r="C13" s="295">
        <f t="shared" si="10"/>
        <v>45843</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v>
      </c>
      <c r="AE13" s="290">
        <f t="shared" si="11"/>
        <v>-975</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28</v>
      </c>
      <c r="B14" s="283" t="str">
        <f t="shared" si="4"/>
        <v>So.</v>
      </c>
      <c r="C14" s="295">
        <f t="shared" si="10"/>
        <v>45844</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v>
      </c>
      <c r="AE14" s="290">
        <f t="shared" si="11"/>
        <v>-975</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28</v>
      </c>
      <c r="B15" s="283" t="str">
        <f t="shared" si="4"/>
        <v>Mo.</v>
      </c>
      <c r="C15" s="295">
        <f t="shared" si="10"/>
        <v>45845</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-982.8</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28</v>
      </c>
      <c r="B16" s="283" t="str">
        <f t="shared" si="4"/>
        <v>Di.</v>
      </c>
      <c r="C16" s="295">
        <f t="shared" si="10"/>
        <v>45846</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-990.59999999999991</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28</v>
      </c>
      <c r="B17" s="283" t="str">
        <f t="shared" si="4"/>
        <v>Mi.</v>
      </c>
      <c r="C17" s="295">
        <f t="shared" si="10"/>
        <v>45847</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-998.39999999999986</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28</v>
      </c>
      <c r="B18" s="283" t="str">
        <f t="shared" si="4"/>
        <v>Do.</v>
      </c>
      <c r="C18" s="295">
        <f t="shared" si="10"/>
        <v>45848</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-1006.1999999999998</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28</v>
      </c>
      <c r="B19" s="283" t="str">
        <f t="shared" si="4"/>
        <v>Fr.</v>
      </c>
      <c r="C19" s="295">
        <f t="shared" si="10"/>
        <v>45849</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-1013.9999999999998</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28</v>
      </c>
      <c r="B20" s="283" t="str">
        <f t="shared" si="4"/>
        <v>Sa.</v>
      </c>
      <c r="C20" s="295">
        <f t="shared" si="10"/>
        <v>45850</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v>
      </c>
      <c r="AE20" s="290">
        <f t="shared" si="11"/>
        <v>-1013.9999999999998</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29</v>
      </c>
      <c r="B21" s="283" t="str">
        <f t="shared" si="4"/>
        <v>So.</v>
      </c>
      <c r="C21" s="295">
        <f t="shared" si="10"/>
        <v>45851</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v>
      </c>
      <c r="AE21" s="290">
        <f t="shared" si="11"/>
        <v>-1013.9999999999998</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29</v>
      </c>
      <c r="B22" s="283" t="str">
        <f t="shared" si="4"/>
        <v>Mo.</v>
      </c>
      <c r="C22" s="295">
        <f t="shared" si="10"/>
        <v>45852</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-1021.7999999999997</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29</v>
      </c>
      <c r="B23" s="283" t="str">
        <f t="shared" si="4"/>
        <v>Di.</v>
      </c>
      <c r="C23" s="295">
        <f t="shared" si="10"/>
        <v>45853</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-1029.5999999999997</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29</v>
      </c>
      <c r="B24" s="283" t="str">
        <f t="shared" si="4"/>
        <v>Mi.</v>
      </c>
      <c r="C24" s="295">
        <f t="shared" si="10"/>
        <v>45854</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-1037.3999999999996</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29</v>
      </c>
      <c r="B25" s="283" t="str">
        <f t="shared" si="4"/>
        <v>Do.</v>
      </c>
      <c r="C25" s="295">
        <f t="shared" si="10"/>
        <v>45855</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-1045.1999999999996</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29</v>
      </c>
      <c r="B26" s="283" t="str">
        <f t="shared" si="4"/>
        <v>Fr.</v>
      </c>
      <c r="C26" s="295">
        <f t="shared" si="10"/>
        <v>45856</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-1052.9999999999995</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29</v>
      </c>
      <c r="B27" s="283" t="str">
        <f t="shared" si="4"/>
        <v>Sa.</v>
      </c>
      <c r="C27" s="295">
        <f t="shared" si="10"/>
        <v>45857</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v>
      </c>
      <c r="AE27" s="290">
        <f t="shared" si="11"/>
        <v>-1052.9999999999995</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30</v>
      </c>
      <c r="B28" s="283" t="str">
        <f t="shared" si="4"/>
        <v>So.</v>
      </c>
      <c r="C28" s="295">
        <f t="shared" si="10"/>
        <v>45858</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v>
      </c>
      <c r="AE28" s="290">
        <f t="shared" si="11"/>
        <v>-1052.9999999999995</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30</v>
      </c>
      <c r="B29" s="283" t="str">
        <f t="shared" si="4"/>
        <v>Mo.</v>
      </c>
      <c r="C29" s="295">
        <f t="shared" si="10"/>
        <v>45859</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-1060.7999999999995</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30</v>
      </c>
      <c r="B30" s="283" t="str">
        <f t="shared" si="4"/>
        <v>Di.</v>
      </c>
      <c r="C30" s="295">
        <f t="shared" si="10"/>
        <v>45860</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-1068.5999999999995</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30</v>
      </c>
      <c r="B31" s="283" t="str">
        <f t="shared" si="4"/>
        <v>Mi.</v>
      </c>
      <c r="C31" s="295">
        <f t="shared" si="10"/>
        <v>45861</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-1076.3999999999994</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30</v>
      </c>
      <c r="B32" s="283" t="str">
        <f t="shared" si="4"/>
        <v>Do.</v>
      </c>
      <c r="C32" s="295">
        <f t="shared" si="10"/>
        <v>45862</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-1084.1999999999994</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30</v>
      </c>
      <c r="B33" s="283" t="str">
        <f t="shared" si="4"/>
        <v>Fr.</v>
      </c>
      <c r="C33" s="295">
        <f t="shared" si="10"/>
        <v>45863</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-1091.9999999999993</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30</v>
      </c>
      <c r="B34" s="283" t="str">
        <f t="shared" si="4"/>
        <v>Sa.</v>
      </c>
      <c r="C34" s="295">
        <f t="shared" si="10"/>
        <v>45864</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v>
      </c>
      <c r="AE34" s="290">
        <f t="shared" si="11"/>
        <v>-1091.9999999999993</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31</v>
      </c>
      <c r="B35" s="283" t="str">
        <f t="shared" si="4"/>
        <v>So.</v>
      </c>
      <c r="C35" s="295">
        <f t="shared" si="10"/>
        <v>45865</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v>
      </c>
      <c r="AE35" s="290">
        <f t="shared" si="11"/>
        <v>-1091.9999999999993</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31</v>
      </c>
      <c r="B36" s="283" t="str">
        <f t="shared" si="4"/>
        <v>Mo.</v>
      </c>
      <c r="C36" s="295">
        <f t="shared" si="10"/>
        <v>45866</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-1099.7999999999993</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31</v>
      </c>
      <c r="B37" s="283" t="str">
        <f t="shared" si="4"/>
        <v>Di.</v>
      </c>
      <c r="C37" s="295">
        <f t="shared" si="10"/>
        <v>45867</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-1107.5999999999992</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31</v>
      </c>
      <c r="B38" s="283" t="str">
        <f t="shared" si="4"/>
        <v>Mi.</v>
      </c>
      <c r="C38" s="295">
        <f t="shared" si="10"/>
        <v>45868</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-1115.3999999999992</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31</v>
      </c>
      <c r="B39" s="283" t="str">
        <f t="shared" si="4"/>
        <v>Do.</v>
      </c>
      <c r="C39" s="295">
        <f t="shared" si="10"/>
        <v>45869</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0.32500000000000001</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0.32500000000000001</v>
      </c>
      <c r="AE39" s="290">
        <f t="shared" si="11"/>
        <v>-1123.1999999999991</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7.4750000000000023</v>
      </c>
      <c r="AB40" s="336">
        <f t="shared" si="14"/>
        <v>0</v>
      </c>
      <c r="AC40" s="336">
        <f t="shared" si="14"/>
        <v>0</v>
      </c>
      <c r="AD40" s="336">
        <f>SUM(AD9:AD39)</f>
        <v>7.4750000000000023</v>
      </c>
      <c r="AE40" s="338">
        <f>(Z40-AD40)*24+I44</f>
        <v>-1123.2000000000003</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JULI</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7.4750000000000023</v>
      </c>
      <c r="I43" s="430">
        <f>(Z40-AD40)*24</f>
        <v>-179.40000000000006</v>
      </c>
      <c r="J43" s="431"/>
      <c r="L43" s="208" t="s">
        <v>163</v>
      </c>
      <c r="P43" s="213">
        <f>'AZ-Modell'!I9</f>
        <v>5</v>
      </c>
      <c r="U43" s="214"/>
      <c r="V43" s="214"/>
      <c r="W43" s="214"/>
      <c r="AE43" s="254"/>
      <c r="AG43" s="457" t="s">
        <v>32</v>
      </c>
      <c r="AH43" s="458"/>
      <c r="AI43" s="297"/>
      <c r="AJ43" s="297"/>
      <c r="AK43" s="298">
        <f>Juni!AM43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39.32500000000001</v>
      </c>
      <c r="I44" s="430">
        <f>Juni!I46</f>
        <v>-943.80000000000018</v>
      </c>
      <c r="J44" s="431"/>
      <c r="L44" s="208" t="s">
        <v>164</v>
      </c>
      <c r="P44" s="220">
        <f>'AZ-Modell'!I11</f>
        <v>1.625</v>
      </c>
      <c r="U44" s="214"/>
      <c r="V44" s="214"/>
      <c r="W44" s="214"/>
      <c r="AE44" s="254"/>
      <c r="AG44" s="457" t="s">
        <v>41</v>
      </c>
      <c r="AH44" s="458"/>
      <c r="AI44" s="297"/>
      <c r="AJ44" s="297"/>
      <c r="AK44" s="298">
        <f>Juni!AM44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Juni!AM45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46.800000000000011</v>
      </c>
      <c r="I46" s="432">
        <f>SUM(I43:I45)</f>
        <v>-1123.2000000000003</v>
      </c>
      <c r="J46" s="433"/>
      <c r="L46" s="450" t="str">
        <f ca="1">IF(P46&lt;&gt;"","Hinweis:","")</f>
        <v/>
      </c>
      <c r="M46" s="450"/>
      <c r="N46" s="450"/>
      <c r="O46" s="450"/>
      <c r="P46" s="475"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
      </c>
      <c r="Q46" s="475"/>
      <c r="R46" s="475"/>
      <c r="S46" s="475"/>
      <c r="T46" s="475"/>
      <c r="U46" s="475"/>
      <c r="V46" s="475"/>
      <c r="W46" s="475"/>
      <c r="X46" s="475"/>
      <c r="Y46" s="475"/>
      <c r="Z46" s="475"/>
      <c r="AA46" s="475"/>
      <c r="AB46" s="475"/>
      <c r="AC46" s="475"/>
      <c r="AD46" s="475"/>
      <c r="AE46" s="475"/>
      <c r="AF46" s="475"/>
      <c r="AG46" s="323" t="s">
        <v>43</v>
      </c>
      <c r="AH46" s="299"/>
      <c r="AI46" s="297"/>
      <c r="AJ46" s="297"/>
      <c r="AK46" s="298">
        <f>Juni!AM46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Juni!AM47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Juni!AM48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I49-Juni!I53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7.4750000000000023</v>
      </c>
      <c r="H56" s="268">
        <f>(F56-G56)*24</f>
        <v>-179.40000000000006</v>
      </c>
      <c r="I56" s="423">
        <f>Juni!I56+H56</f>
        <v>-1123.2000000000003</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Juni!I57+H57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Juni!I58+H58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7:AH47"/>
    <mergeCell ref="AG48:AH48"/>
    <mergeCell ref="AG43:AH43"/>
    <mergeCell ref="AG44:AH44"/>
    <mergeCell ref="L46:O46"/>
    <mergeCell ref="P46:AF47"/>
    <mergeCell ref="A1:AN1"/>
    <mergeCell ref="D7:H7"/>
    <mergeCell ref="I7:M7"/>
    <mergeCell ref="N7:R7"/>
    <mergeCell ref="W7:X7"/>
    <mergeCell ref="AA7:AD7"/>
    <mergeCell ref="AK7:AN7"/>
    <mergeCell ref="B7:C7"/>
    <mergeCell ref="AH4:AJ4"/>
    <mergeCell ref="S7:V7"/>
    <mergeCell ref="A49:H49"/>
    <mergeCell ref="A50:H50"/>
    <mergeCell ref="A51:H51"/>
    <mergeCell ref="A53:H53"/>
    <mergeCell ref="I49:J49"/>
    <mergeCell ref="I50:J50"/>
    <mergeCell ref="I51:J51"/>
    <mergeCell ref="I53:J53"/>
    <mergeCell ref="A42:G42"/>
    <mergeCell ref="A43:G43"/>
    <mergeCell ref="A44:G44"/>
    <mergeCell ref="A46:G46"/>
    <mergeCell ref="A48:H48"/>
    <mergeCell ref="I48:J48"/>
    <mergeCell ref="I42:J42"/>
    <mergeCell ref="I43:J43"/>
    <mergeCell ref="I44:J44"/>
    <mergeCell ref="I46:J46"/>
    <mergeCell ref="B56:E56"/>
    <mergeCell ref="B57:E57"/>
    <mergeCell ref="B58:E58"/>
    <mergeCell ref="I55:J55"/>
    <mergeCell ref="I56:J56"/>
    <mergeCell ref="I57:J57"/>
    <mergeCell ref="I58:J58"/>
    <mergeCell ref="B55:E55"/>
  </mergeCells>
  <conditionalFormatting sqref="A9:AN39">
    <cfRule type="expression" priority="1">
      <formula>AND(WEEKDAY($C9)&gt;1,WEEKDAY($C9)&lt;7)</formula>
    </cfRule>
  </conditionalFormatting>
  <conditionalFormatting sqref="H9:H39">
    <cfRule type="expression" dxfId="65"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64"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62"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57"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A00-000000000000}">
      <formula1>0</formula1>
      <formula2>0.333333333333333</formula2>
    </dataValidation>
    <dataValidation type="list" allowBlank="1" showInputMessage="1" sqref="D9:D39 N9:N39 I9:I39" xr:uid="{00000000-0002-0000-0A00-000001000000}">
      <formula1>"1,2,3"</formula1>
    </dataValidation>
    <dataValidation type="list" allowBlank="1" showInputMessage="1" showErrorMessage="1" sqref="W9:W39" xr:uid="{00000000-0002-0000-0A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3D3D0A81-A0AB-43DB-AF14-3F87914620B6}">
            <xm:f>OR(COUNTIF(Grunddaten!$F$35:$F$58,$C10)&gt;0,WEEKDAY($C10)=1,WEEKDAY($C10)=7)</xm:f>
            <x14:dxf>
              <fill>
                <patternFill>
                  <bgColor theme="4" tint="0.79998168889431442"/>
                </patternFill>
              </fill>
              <border>
                <top style="thin">
                  <color theme="0"/>
                </top>
                <bottom style="thin">
                  <color theme="0"/>
                </bottom>
              </border>
            </x14:dxf>
          </x14:cfRule>
          <xm:sqref>D10:F39</xm:sqref>
        </x14:conditionalFormatting>
        <x14:conditionalFormatting xmlns:xm="http://schemas.microsoft.com/office/excel/2006/main">
          <x14:cfRule type="expression" priority="4" id="{3D724AA1-ABA8-4749-A355-36ACAFEAE2BC}">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3" id="{EBABD88A-648B-4DF9-854D-829F3B4B77A4}">
            <xm:f>OR(COUNTIF(Grunddaten!$F$35:$F$58,$C10)&gt;0,WEEKDAY($C10)=1,WEEKDAY($C10)=7)</xm:f>
            <x14:dxf>
              <fill>
                <patternFill>
                  <bgColor theme="4" tint="0.79998168889431442"/>
                </patternFill>
              </fill>
              <border>
                <top style="thin">
                  <color theme="0"/>
                </top>
                <bottom style="thin">
                  <color theme="0"/>
                </bottom>
              </border>
            </x14:dxf>
          </x14:cfRule>
          <xm:sqref>G10:N39</xm:sqref>
        </x14:conditionalFormatting>
        <x14:conditionalFormatting xmlns:xm="http://schemas.microsoft.com/office/excel/2006/main">
          <x14:cfRule type="expression" priority="15" id="{C4EEC51D-7E00-402C-870D-F5804F5DAAD4}">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6" id="{B7B06C72-D7B2-4491-964F-044632AF2EB8}">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03B82638-E350-4365-BE26-330F3C9659FC}">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21" id="{990D461B-5562-4CA0-970D-198236226697}">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7" id="{8B50427F-FAE6-4C86-9F86-3706456E75BF}">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3000000}">
          <x14:formula1>
            <xm:f>Grunddaten!$B$16:$B$21</xm:f>
          </x14:formula1>
          <xm:sqref>S9:S39</xm:sqref>
        </x14:dataValidation>
        <x14:dataValidation type="list" allowBlank="1" showInputMessage="1" xr:uid="{00000000-0002-0000-0A00-000004000000}">
          <x14:formula1>
            <xm:f>Grunddaten!$F$14:$F$32</xm:f>
          </x14:formula1>
          <xm:sqref>AF9:AF39</xm:sqref>
        </x14:dataValidation>
        <x14:dataValidation type="list" allowBlank="1" showInputMessage="1" xr:uid="{00000000-0002-0000-0A00-000005000000}">
          <x14:formula1>
            <xm:f>Grunddaten!$F$62:$F$92</xm:f>
          </x14:formula1>
          <xm:sqref>AG9:AG39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7" tint="0.79998168889431442"/>
    <pageSetUpPr fitToPage="1"/>
  </sheetPr>
  <dimension ref="A1:AN68"/>
  <sheetViews>
    <sheetView showGridLines="0" zoomScale="75" zoomScaleNormal="75" workbookViewId="0">
      <pane ySplit="8" topLeftCell="A21"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180</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31</v>
      </c>
      <c r="B9" s="283" t="str">
        <f>IF(WEEKDAY($C9,1)=1,"So.",IF(WEEKDAY($C9,1)=2,"Mo.",IF(WEEKDAY($C9,1)=3,"Di.",IF(WEEKDAY($C9,1)=4,"Mi.",IF(WEEKDAY($C9,1)=5,"Do.",IF(WEEKDAY($C9,1)=6,"Fr.","Sa."))))))</f>
        <v>Fr.</v>
      </c>
      <c r="C9" s="295">
        <f>DATE(Grunddaten!G9,8,1)</f>
        <v>45870</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-1131.0000000000002</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31</v>
      </c>
      <c r="B10" s="283" t="str">
        <f t="shared" ref="B10:B39" si="4">IF(WEEKDAY($C10,1)=1,"So.",IF(WEEKDAY($C10,1)=2,"Mo.",IF(WEEKDAY($C10,1)=3,"Di.",IF(WEEKDAY($C10,1)=4,"Mi.",IF(WEEKDAY($C10,1)=5,"Do.",IF(WEEKDAY($C10,1)=6,"Fr.","Sa."))))))</f>
        <v>Sa.</v>
      </c>
      <c r="C10" s="295">
        <f>C9+1</f>
        <v>45871</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v>
      </c>
      <c r="AE10" s="290">
        <f>(Z10-AD10)*24+AE9</f>
        <v>-1131.0000000000002</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32</v>
      </c>
      <c r="B11" s="283" t="str">
        <f t="shared" si="4"/>
        <v>So.</v>
      </c>
      <c r="C11" s="295">
        <f t="shared" ref="C11:C39" si="10">C10+1</f>
        <v>45872</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v>
      </c>
      <c r="AE11" s="290">
        <f t="shared" ref="AE11:AE39" si="11">(Z11-AD11)*24+AE10</f>
        <v>-1131.0000000000002</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32</v>
      </c>
      <c r="B12" s="283" t="str">
        <f t="shared" si="4"/>
        <v>Mo.</v>
      </c>
      <c r="C12" s="295">
        <f t="shared" si="10"/>
        <v>45873</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-1138.8000000000002</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32</v>
      </c>
      <c r="B13" s="283" t="str">
        <f t="shared" si="4"/>
        <v>Di.</v>
      </c>
      <c r="C13" s="295">
        <f t="shared" si="10"/>
        <v>45874</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-1146.6000000000001</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32</v>
      </c>
      <c r="B14" s="283" t="str">
        <f t="shared" si="4"/>
        <v>Mi.</v>
      </c>
      <c r="C14" s="295">
        <f t="shared" si="10"/>
        <v>45875</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-1154.4000000000001</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32</v>
      </c>
      <c r="B15" s="283" t="str">
        <f t="shared" si="4"/>
        <v>Do.</v>
      </c>
      <c r="C15" s="295">
        <f t="shared" si="10"/>
        <v>45876</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-1162.2</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32</v>
      </c>
      <c r="B16" s="283" t="str">
        <f t="shared" si="4"/>
        <v>Fr.</v>
      </c>
      <c r="C16" s="295">
        <f t="shared" si="10"/>
        <v>45877</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-1170</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32</v>
      </c>
      <c r="B17" s="283" t="str">
        <f t="shared" si="4"/>
        <v>Sa.</v>
      </c>
      <c r="C17" s="295">
        <f t="shared" si="10"/>
        <v>45878</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v>
      </c>
      <c r="AE17" s="290">
        <f t="shared" si="11"/>
        <v>-1170</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33</v>
      </c>
      <c r="B18" s="283" t="str">
        <f t="shared" si="4"/>
        <v>So.</v>
      </c>
      <c r="C18" s="295">
        <f t="shared" si="10"/>
        <v>45879</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v>
      </c>
      <c r="AE18" s="290">
        <f t="shared" si="11"/>
        <v>-1170</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33</v>
      </c>
      <c r="B19" s="283" t="str">
        <f t="shared" si="4"/>
        <v>Mo.</v>
      </c>
      <c r="C19" s="295">
        <f t="shared" si="10"/>
        <v>45880</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-1177.8</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33</v>
      </c>
      <c r="B20" s="283" t="str">
        <f t="shared" si="4"/>
        <v>Di.</v>
      </c>
      <c r="C20" s="295">
        <f t="shared" si="10"/>
        <v>45881</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-1185.5999999999999</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33</v>
      </c>
      <c r="B21" s="283" t="str">
        <f t="shared" si="4"/>
        <v>Mi.</v>
      </c>
      <c r="C21" s="295">
        <f t="shared" si="10"/>
        <v>45882</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-1193.3999999999999</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33</v>
      </c>
      <c r="B22" s="283" t="str">
        <f t="shared" si="4"/>
        <v>Do.</v>
      </c>
      <c r="C22" s="295">
        <f t="shared" si="10"/>
        <v>45883</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-1201.1999999999998</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33</v>
      </c>
      <c r="B23" s="283" t="str">
        <f t="shared" si="4"/>
        <v>Fr.</v>
      </c>
      <c r="C23" s="295">
        <f t="shared" si="10"/>
        <v>45884</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v>
      </c>
      <c r="AE23" s="290">
        <f t="shared" si="11"/>
        <v>-1201.1999999999998</v>
      </c>
      <c r="AF23" s="292" t="str">
        <f>IFERROR(VLOOKUP($C23,Grunddaten!$F$36:$G$59,2,0),"")</f>
        <v>Mariä Himmelfahrt</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33</v>
      </c>
      <c r="B24" s="283" t="str">
        <f t="shared" si="4"/>
        <v>Sa.</v>
      </c>
      <c r="C24" s="295">
        <f t="shared" si="10"/>
        <v>45885</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v>
      </c>
      <c r="AE24" s="290">
        <f t="shared" si="11"/>
        <v>-1201.1999999999998</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34</v>
      </c>
      <c r="B25" s="283" t="str">
        <f t="shared" si="4"/>
        <v>So.</v>
      </c>
      <c r="C25" s="295">
        <f t="shared" si="10"/>
        <v>45886</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v>
      </c>
      <c r="AE25" s="290">
        <f t="shared" si="11"/>
        <v>-1201.1999999999998</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34</v>
      </c>
      <c r="B26" s="283" t="str">
        <f t="shared" si="4"/>
        <v>Mo.</v>
      </c>
      <c r="C26" s="295">
        <f t="shared" si="10"/>
        <v>45887</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-1208.9999999999998</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34</v>
      </c>
      <c r="B27" s="283" t="str">
        <f t="shared" si="4"/>
        <v>Di.</v>
      </c>
      <c r="C27" s="295">
        <f t="shared" si="10"/>
        <v>45888</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-1216.7999999999997</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34</v>
      </c>
      <c r="B28" s="283" t="str">
        <f t="shared" si="4"/>
        <v>Mi.</v>
      </c>
      <c r="C28" s="295">
        <f t="shared" si="10"/>
        <v>45889</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-1224.5999999999997</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34</v>
      </c>
      <c r="B29" s="283" t="str">
        <f t="shared" si="4"/>
        <v>Do.</v>
      </c>
      <c r="C29" s="295">
        <f t="shared" si="10"/>
        <v>45890</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-1232.3999999999996</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34</v>
      </c>
      <c r="B30" s="283" t="str">
        <f t="shared" si="4"/>
        <v>Fr.</v>
      </c>
      <c r="C30" s="295">
        <f t="shared" si="10"/>
        <v>45891</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-1240.1999999999996</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34</v>
      </c>
      <c r="B31" s="283" t="str">
        <f t="shared" si="4"/>
        <v>Sa.</v>
      </c>
      <c r="C31" s="295">
        <f t="shared" si="10"/>
        <v>45892</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v>
      </c>
      <c r="AE31" s="290">
        <f t="shared" si="11"/>
        <v>-1240.1999999999996</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35</v>
      </c>
      <c r="B32" s="283" t="str">
        <f t="shared" si="4"/>
        <v>So.</v>
      </c>
      <c r="C32" s="295">
        <f t="shared" si="10"/>
        <v>45893</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v>
      </c>
      <c r="AE32" s="290">
        <f t="shared" si="11"/>
        <v>-1240.1999999999996</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35</v>
      </c>
      <c r="B33" s="283" t="str">
        <f t="shared" si="4"/>
        <v>Mo.</v>
      </c>
      <c r="C33" s="295">
        <f t="shared" si="10"/>
        <v>45894</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-1247.9999999999995</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35</v>
      </c>
      <c r="B34" s="283" t="str">
        <f t="shared" si="4"/>
        <v>Di.</v>
      </c>
      <c r="C34" s="295">
        <f t="shared" si="10"/>
        <v>45895</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-1255.7999999999995</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35</v>
      </c>
      <c r="B35" s="283" t="str">
        <f t="shared" si="4"/>
        <v>Mi.</v>
      </c>
      <c r="C35" s="295">
        <f t="shared" si="10"/>
        <v>45896</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-1263.5999999999995</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35</v>
      </c>
      <c r="B36" s="283" t="str">
        <f t="shared" si="4"/>
        <v>Do.</v>
      </c>
      <c r="C36" s="295">
        <f t="shared" si="10"/>
        <v>45897</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-1271.3999999999994</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35</v>
      </c>
      <c r="B37" s="283" t="str">
        <f t="shared" si="4"/>
        <v>Fr.</v>
      </c>
      <c r="C37" s="295">
        <f t="shared" si="10"/>
        <v>45898</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-1279.1999999999994</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35</v>
      </c>
      <c r="B38" s="283" t="str">
        <f t="shared" si="4"/>
        <v>Sa.</v>
      </c>
      <c r="C38" s="295">
        <f t="shared" si="10"/>
        <v>45899</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v>
      </c>
      <c r="AE38" s="290">
        <f t="shared" si="11"/>
        <v>-1279.1999999999994</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36</v>
      </c>
      <c r="B39" s="283" t="str">
        <f t="shared" si="4"/>
        <v>So.</v>
      </c>
      <c r="C39" s="295">
        <f t="shared" si="10"/>
        <v>45900</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-1279.1999999999994</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6.5000000000000018</v>
      </c>
      <c r="AB40" s="336">
        <f t="shared" si="14"/>
        <v>0</v>
      </c>
      <c r="AC40" s="336">
        <f t="shared" si="14"/>
        <v>0</v>
      </c>
      <c r="AD40" s="336">
        <f>SUM(AD9:AD39)</f>
        <v>6.5000000000000018</v>
      </c>
      <c r="AE40" s="338">
        <f>(Z40-AD40)*24+I44</f>
        <v>-1279.2000000000003</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AUGUST</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6.5000000000000027</v>
      </c>
      <c r="I43" s="430">
        <f>(Z40-AD40)*24</f>
        <v>-156.00000000000006</v>
      </c>
      <c r="J43" s="431"/>
      <c r="L43" s="208" t="s">
        <v>163</v>
      </c>
      <c r="P43" s="213">
        <f>'AZ-Modell'!J9</f>
        <v>5</v>
      </c>
      <c r="U43" s="214"/>
      <c r="V43" s="214"/>
      <c r="W43" s="214"/>
      <c r="AE43" s="254"/>
      <c r="AG43" s="457" t="s">
        <v>32</v>
      </c>
      <c r="AH43" s="458"/>
      <c r="AI43" s="297"/>
      <c r="AJ43" s="297"/>
      <c r="AK43" s="298">
        <f>Juli!AM43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46.800000000000011</v>
      </c>
      <c r="I44" s="430">
        <f>Juli!I46</f>
        <v>-1123.2000000000003</v>
      </c>
      <c r="J44" s="431"/>
      <c r="L44" s="208" t="s">
        <v>164</v>
      </c>
      <c r="P44" s="220">
        <f>'AZ-Modell'!J11</f>
        <v>1.625</v>
      </c>
      <c r="U44" s="214"/>
      <c r="V44" s="214"/>
      <c r="W44" s="214"/>
      <c r="AE44" s="254"/>
      <c r="AG44" s="457" t="s">
        <v>41</v>
      </c>
      <c r="AH44" s="458"/>
      <c r="AI44" s="297"/>
      <c r="AJ44" s="297"/>
      <c r="AK44" s="298">
        <f>Juli!AM44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Juli!AM45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53.300000000000011</v>
      </c>
      <c r="I46" s="432">
        <f>SUM(I43:I45)</f>
        <v>-1279.2000000000003</v>
      </c>
      <c r="J46" s="433"/>
      <c r="L46" s="450" t="str">
        <f ca="1">IF(P46&lt;&gt;"","Hinweis:","")</f>
        <v/>
      </c>
      <c r="M46" s="450"/>
      <c r="N46" s="450"/>
      <c r="O46" s="450"/>
      <c r="P46" s="476"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
      </c>
      <c r="Q46" s="476"/>
      <c r="R46" s="476"/>
      <c r="S46" s="476"/>
      <c r="T46" s="476"/>
      <c r="U46" s="476"/>
      <c r="V46" s="476"/>
      <c r="W46" s="476"/>
      <c r="X46" s="476"/>
      <c r="Y46" s="476"/>
      <c r="Z46" s="476"/>
      <c r="AA46" s="476"/>
      <c r="AB46" s="476"/>
      <c r="AC46" s="476"/>
      <c r="AD46" s="476"/>
      <c r="AE46" s="476"/>
      <c r="AF46" s="476"/>
      <c r="AG46" s="323" t="s">
        <v>43</v>
      </c>
      <c r="AH46" s="299"/>
      <c r="AI46" s="297"/>
      <c r="AJ46" s="297"/>
      <c r="AK46" s="298">
        <f>Juli!AM46</f>
        <v>0</v>
      </c>
      <c r="AL46" s="298">
        <f t="shared" si="16"/>
        <v>0</v>
      </c>
      <c r="AM46" s="455">
        <f t="shared" si="17"/>
        <v>0</v>
      </c>
      <c r="AN46" s="456"/>
    </row>
    <row r="47" spans="1:40" s="208" customFormat="1" ht="14" x14ac:dyDescent="0.3">
      <c r="A47" s="223"/>
      <c r="B47" s="223"/>
      <c r="C47" s="225"/>
      <c r="D47" s="225"/>
      <c r="E47" s="217"/>
      <c r="J47" s="226"/>
      <c r="P47" s="476"/>
      <c r="Q47" s="476"/>
      <c r="R47" s="476"/>
      <c r="S47" s="476"/>
      <c r="T47" s="476"/>
      <c r="U47" s="476"/>
      <c r="V47" s="476"/>
      <c r="W47" s="476"/>
      <c r="X47" s="476"/>
      <c r="Y47" s="476"/>
      <c r="Z47" s="476"/>
      <c r="AA47" s="476"/>
      <c r="AB47" s="476"/>
      <c r="AC47" s="476"/>
      <c r="AD47" s="476"/>
      <c r="AE47" s="476"/>
      <c r="AF47" s="476"/>
      <c r="AG47" s="457" t="s">
        <v>278</v>
      </c>
      <c r="AH47" s="458"/>
      <c r="AI47" s="297"/>
      <c r="AJ47" s="297"/>
      <c r="AK47" s="298">
        <f>Juli!AM47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Juli!AM48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I49-Juli!I53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6.5000000000000018</v>
      </c>
      <c r="H56" s="268">
        <f>(F56-G56)*24</f>
        <v>-156.00000000000006</v>
      </c>
      <c r="I56" s="423">
        <f>Juli!I56+H56</f>
        <v>-1279.2000000000003</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Juli!I57+H57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Juli!I58+H58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7:AH47"/>
    <mergeCell ref="AG48:AH48"/>
    <mergeCell ref="AG43:AH43"/>
    <mergeCell ref="AG44:AH44"/>
    <mergeCell ref="L46:O46"/>
    <mergeCell ref="P46:AF47"/>
    <mergeCell ref="A1:AN1"/>
    <mergeCell ref="D7:H7"/>
    <mergeCell ref="I7:M7"/>
    <mergeCell ref="N7:R7"/>
    <mergeCell ref="W7:X7"/>
    <mergeCell ref="AA7:AD7"/>
    <mergeCell ref="AK7:AN7"/>
    <mergeCell ref="B7:C7"/>
    <mergeCell ref="AH4:AJ4"/>
    <mergeCell ref="S7:V7"/>
    <mergeCell ref="A49:H49"/>
    <mergeCell ref="A50:H50"/>
    <mergeCell ref="A51:H51"/>
    <mergeCell ref="A53:H53"/>
    <mergeCell ref="I49:J49"/>
    <mergeCell ref="I50:J50"/>
    <mergeCell ref="I51:J51"/>
    <mergeCell ref="I53:J53"/>
    <mergeCell ref="A42:G42"/>
    <mergeCell ref="A43:G43"/>
    <mergeCell ref="A44:G44"/>
    <mergeCell ref="A46:G46"/>
    <mergeCell ref="A48:H48"/>
    <mergeCell ref="I48:J48"/>
    <mergeCell ref="I42:J42"/>
    <mergeCell ref="I43:J43"/>
    <mergeCell ref="I44:J44"/>
    <mergeCell ref="I46:J46"/>
    <mergeCell ref="B56:E56"/>
    <mergeCell ref="B57:E57"/>
    <mergeCell ref="B58:E58"/>
    <mergeCell ref="I55:J55"/>
    <mergeCell ref="I56:J56"/>
    <mergeCell ref="I57:J57"/>
    <mergeCell ref="I58:J58"/>
    <mergeCell ref="B55:E55"/>
  </mergeCells>
  <conditionalFormatting sqref="A9:C39">
    <cfRule type="expression" priority="120">
      <formula>AND(WEEKDAY($C9)&gt;1,WEEKDAY($C9)&lt;7)</formula>
    </cfRule>
  </conditionalFormatting>
  <conditionalFormatting sqref="D9:F38">
    <cfRule type="expression" priority="1">
      <formula>AND(WEEKDAY($C9)&gt;1,WEEKDAY($C9)&lt;7)</formula>
    </cfRule>
  </conditionalFormatting>
  <conditionalFormatting sqref="G10:G38 D39:G39">
    <cfRule type="expression" priority="14">
      <formula>AND(WEEKDAY($C10)&gt;1,WEEKDAY($C10)&lt;7)</formula>
    </cfRule>
  </conditionalFormatting>
  <conditionalFormatting sqref="G9:M9 H10:M39">
    <cfRule type="expression" priority="5">
      <formula>AND(WEEKDAY($C9)&gt;1,WEEKDAY($C9)&lt;7)</formula>
    </cfRule>
  </conditionalFormatting>
  <conditionalFormatting sqref="H9:H39">
    <cfRule type="expression" dxfId="55"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53"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N9:AN39">
    <cfRule type="expression" priority="3">
      <formula>AND(WEEKDAY($C9)&gt;1,WEEKDAY($C9)&lt;7)</formula>
    </cfRule>
  </conditionalFormatting>
  <conditionalFormatting sqref="R9:R39">
    <cfRule type="expression" dxfId="50"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45"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B00-000000000000}">
      <formula1>0</formula1>
      <formula2>0.333333333333333</formula2>
    </dataValidation>
    <dataValidation type="list" allowBlank="1" showInputMessage="1" sqref="D9:D39 N9:N39 I9:I39" xr:uid="{00000000-0002-0000-0B00-000001000000}">
      <formula1>"1,2,3"</formula1>
    </dataValidation>
    <dataValidation type="list" allowBlank="1" showInputMessage="1" showErrorMessage="1" sqref="W9:W39" xr:uid="{00000000-0002-0000-0B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C081ECF8-CE3D-4F7F-84CF-F98E2C0F2266}">
            <xm:f>OR(COUNTIF(Grunddaten!$F$35:$F$58,$C9)&gt;0,WEEKDAY($C9)=1,WEEKDAY($C9)=7)</xm:f>
            <x14:dxf>
              <fill>
                <patternFill>
                  <bgColor theme="4" tint="0.79998168889431442"/>
                </patternFill>
              </fill>
              <border>
                <top style="thin">
                  <color theme="0"/>
                </top>
                <bottom style="thin">
                  <color theme="0"/>
                </bottom>
              </border>
            </x14:dxf>
          </x14:cfRule>
          <xm:sqref>D9:F38</xm:sqref>
        </x14:conditionalFormatting>
        <x14:conditionalFormatting xmlns:xm="http://schemas.microsoft.com/office/excel/2006/main">
          <x14:cfRule type="expression" priority="13" id="{CCB9079C-82FB-4BDC-AC5D-2F984C89395F}">
            <xm:f>OR(COUNTIF(Grunddaten!$F$35:$F$58,$C10)&gt;0,WEEKDAY($C10)=1,WEEKDAY($C10)=7)</xm:f>
            <x14:dxf>
              <fill>
                <patternFill>
                  <bgColor theme="4" tint="0.79998168889431442"/>
                </patternFill>
              </fill>
              <border>
                <top style="thin">
                  <color theme="0"/>
                </top>
                <bottom style="thin">
                  <color theme="0"/>
                </bottom>
              </border>
            </x14:dxf>
          </x14:cfRule>
          <xm:sqref>H10:N39</xm:sqref>
        </x14:conditionalFormatting>
        <x14:conditionalFormatting xmlns:xm="http://schemas.microsoft.com/office/excel/2006/main">
          <x14:cfRule type="expression" priority="4" id="{257D8FAE-D726-488E-9DCD-0D18ABDEE8A0}">
            <xm:f>OR(COUNTIF(Grunddaten!$F$35:$F$58,$C9)&gt;0,WEEKDAY($C9)=1,WEEKDAY($C9)=7)</xm:f>
            <x14:dxf>
              <fill>
                <patternFill>
                  <bgColor theme="4" tint="0.79998168889431442"/>
                </patternFill>
              </fill>
              <border>
                <top style="thin">
                  <color theme="0"/>
                </top>
                <bottom style="thin">
                  <color theme="0"/>
                </bottom>
              </border>
            </x14:dxf>
          </x14:cfRule>
          <xm:sqref>N9</xm:sqref>
        </x14:conditionalFormatting>
        <x14:conditionalFormatting xmlns:xm="http://schemas.microsoft.com/office/excel/2006/main">
          <x14:cfRule type="expression" priority="15" id="{B4FD5C7C-6BCC-4B4A-BDB0-AE68EA24D948}">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6" id="{1015915D-CE49-4875-9828-AD0F5C138827}">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7CCB0FC5-ABC0-491E-8AC3-13EFCAE51455}">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21" id="{3A79643F-33B5-4428-8B01-74B712EFE9DC}">
            <xm:f>OR(COUNTIF(Grunddaten!$F$35:$F$58,$C9)&gt;0,WEEKDAY($C9)=1,WEEKDAY($C9)=7)</xm:f>
            <x14:dxf>
              <fill>
                <patternFill>
                  <bgColor theme="4" tint="0.79998168889431442"/>
                </patternFill>
              </fill>
              <border>
                <top style="thin">
                  <color theme="0"/>
                </top>
                <bottom style="thin">
                  <color theme="0"/>
                </bottom>
              </border>
            </x14:dxf>
          </x14:cfRule>
          <xm:sqref>AF10:AN39 O10:AD39 G9:M9 A9:C39 G10:G38 D39:G39</xm:sqref>
        </x14:conditionalFormatting>
        <x14:conditionalFormatting xmlns:xm="http://schemas.microsoft.com/office/excel/2006/main">
          <x14:cfRule type="expression" priority="17" id="{13258FB7-1B14-4E2C-BEB1-BCC193F94CC1}">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Grunddaten!$B$16:$B$21</xm:f>
          </x14:formula1>
          <xm:sqref>S9:S39</xm:sqref>
        </x14:dataValidation>
        <x14:dataValidation type="list" allowBlank="1" showInputMessage="1" xr:uid="{00000000-0002-0000-0B00-000004000000}">
          <x14:formula1>
            <xm:f>Grunddaten!$F$14:$F$32</xm:f>
          </x14:formula1>
          <xm:sqref>AF9:AF39</xm:sqref>
        </x14:dataValidation>
        <x14:dataValidation type="list" allowBlank="1" showInputMessage="1" xr:uid="{00000000-0002-0000-0B00-000005000000}">
          <x14:formula1>
            <xm:f>Grunddaten!$F$62:$F$92</xm:f>
          </x14:formula1>
          <xm:sqref>AG9:AG39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tabColor theme="7" tint="0.79998168889431442"/>
    <pageSetUpPr fitToPage="1"/>
  </sheetPr>
  <dimension ref="A1:AN68"/>
  <sheetViews>
    <sheetView showGridLines="0" zoomScale="75" zoomScaleNormal="75" workbookViewId="0">
      <pane ySplit="8" topLeftCell="A24"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181</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36</v>
      </c>
      <c r="B9" s="283" t="str">
        <f>IF(WEEKDAY($C9,1)=1,"So.",IF(WEEKDAY($C9,1)=2,"Mo.",IF(WEEKDAY($C9,1)=3,"Di.",IF(WEEKDAY($C9,1)=4,"Mi.",IF(WEEKDAY($C9,1)=5,"Do.",IF(WEEKDAY($C9,1)=6,"Fr.","Sa."))))))</f>
        <v>Mo.</v>
      </c>
      <c r="C9" s="295">
        <f>DATE(Grunddaten!G9,9,1)</f>
        <v>45901</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-1287.0000000000002</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8" si="3">WEEKNUM($C10)</f>
        <v>36</v>
      </c>
      <c r="B10" s="283" t="str">
        <f t="shared" ref="B10:B38" si="4">IF(WEEKDAY($C10,1)=1,"So.",IF(WEEKDAY($C10,1)=2,"Mo.",IF(WEEKDAY($C10,1)=3,"Di.",IF(WEEKDAY($C10,1)=4,"Mi.",IF(WEEKDAY($C10,1)=5,"Do.",IF(WEEKDAY($C10,1)=6,"Fr.","Sa."))))))</f>
        <v>Di.</v>
      </c>
      <c r="C10" s="295">
        <f>C9+1</f>
        <v>45902</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-1294.8000000000002</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36</v>
      </c>
      <c r="B11" s="283" t="str">
        <f t="shared" si="4"/>
        <v>Mi.</v>
      </c>
      <c r="C11" s="295">
        <f t="shared" ref="C11:C38" si="10">C10+1</f>
        <v>45903</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-1302.6000000000001</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36</v>
      </c>
      <c r="B12" s="283" t="str">
        <f t="shared" si="4"/>
        <v>Do.</v>
      </c>
      <c r="C12" s="295">
        <f t="shared" si="10"/>
        <v>45904</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-1310.4000000000001</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36</v>
      </c>
      <c r="B13" s="283" t="str">
        <f t="shared" si="4"/>
        <v>Fr.</v>
      </c>
      <c r="C13" s="295">
        <f t="shared" si="10"/>
        <v>45905</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-1318.2</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36</v>
      </c>
      <c r="B14" s="283" t="str">
        <f t="shared" si="4"/>
        <v>Sa.</v>
      </c>
      <c r="C14" s="295">
        <f t="shared" si="10"/>
        <v>45906</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v>
      </c>
      <c r="AE14" s="290">
        <f t="shared" si="11"/>
        <v>-1318.2</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37</v>
      </c>
      <c r="B15" s="283" t="str">
        <f t="shared" si="4"/>
        <v>So.</v>
      </c>
      <c r="C15" s="295">
        <f t="shared" si="10"/>
        <v>45907</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v>
      </c>
      <c r="AE15" s="290">
        <f t="shared" si="11"/>
        <v>-1318.2</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37</v>
      </c>
      <c r="B16" s="283" t="str">
        <f t="shared" si="4"/>
        <v>Mo.</v>
      </c>
      <c r="C16" s="295">
        <f t="shared" si="10"/>
        <v>45908</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-1326</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37</v>
      </c>
      <c r="B17" s="283" t="str">
        <f t="shared" si="4"/>
        <v>Di.</v>
      </c>
      <c r="C17" s="295">
        <f t="shared" si="10"/>
        <v>45909</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-1333.8</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37</v>
      </c>
      <c r="B18" s="283" t="str">
        <f t="shared" si="4"/>
        <v>Mi.</v>
      </c>
      <c r="C18" s="295">
        <f t="shared" si="10"/>
        <v>45910</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-1341.6</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37</v>
      </c>
      <c r="B19" s="283" t="str">
        <f t="shared" si="4"/>
        <v>Do.</v>
      </c>
      <c r="C19" s="295">
        <f t="shared" si="10"/>
        <v>45911</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-1349.3999999999999</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37</v>
      </c>
      <c r="B20" s="283" t="str">
        <f t="shared" si="4"/>
        <v>Fr.</v>
      </c>
      <c r="C20" s="295">
        <f t="shared" si="10"/>
        <v>45912</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-1357.1999999999998</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37</v>
      </c>
      <c r="B21" s="283" t="str">
        <f t="shared" si="4"/>
        <v>Sa.</v>
      </c>
      <c r="C21" s="295">
        <f t="shared" si="10"/>
        <v>45913</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v>
      </c>
      <c r="AE21" s="290">
        <f t="shared" si="11"/>
        <v>-1357.1999999999998</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38</v>
      </c>
      <c r="B22" s="283" t="str">
        <f t="shared" si="4"/>
        <v>So.</v>
      </c>
      <c r="C22" s="295">
        <f t="shared" si="10"/>
        <v>45914</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v>
      </c>
      <c r="AE22" s="290">
        <f t="shared" si="11"/>
        <v>-1357.1999999999998</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38</v>
      </c>
      <c r="B23" s="283" t="str">
        <f t="shared" si="4"/>
        <v>Mo.</v>
      </c>
      <c r="C23" s="295">
        <f t="shared" si="10"/>
        <v>45915</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-1364.9999999999998</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38</v>
      </c>
      <c r="B24" s="283" t="str">
        <f t="shared" si="4"/>
        <v>Di.</v>
      </c>
      <c r="C24" s="295">
        <f t="shared" si="10"/>
        <v>45916</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-1372.7999999999997</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38</v>
      </c>
      <c r="B25" s="283" t="str">
        <f t="shared" si="4"/>
        <v>Mi.</v>
      </c>
      <c r="C25" s="295">
        <f t="shared" si="10"/>
        <v>45917</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-1380.5999999999997</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38</v>
      </c>
      <c r="B26" s="283" t="str">
        <f t="shared" si="4"/>
        <v>Do.</v>
      </c>
      <c r="C26" s="295">
        <f t="shared" si="10"/>
        <v>45918</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-1388.3999999999996</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38</v>
      </c>
      <c r="B27" s="283" t="str">
        <f t="shared" si="4"/>
        <v>Fr.</v>
      </c>
      <c r="C27" s="295">
        <f t="shared" si="10"/>
        <v>45919</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-1396.1999999999996</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38</v>
      </c>
      <c r="B28" s="283" t="str">
        <f t="shared" si="4"/>
        <v>Sa.</v>
      </c>
      <c r="C28" s="295">
        <f t="shared" si="10"/>
        <v>45920</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v>
      </c>
      <c r="AE28" s="290">
        <f t="shared" si="11"/>
        <v>-1396.1999999999996</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39</v>
      </c>
      <c r="B29" s="283" t="str">
        <f t="shared" si="4"/>
        <v>So.</v>
      </c>
      <c r="C29" s="295">
        <f t="shared" si="10"/>
        <v>45921</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v>
      </c>
      <c r="AE29" s="290">
        <f t="shared" si="11"/>
        <v>-1396.1999999999996</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39</v>
      </c>
      <c r="B30" s="283" t="str">
        <f t="shared" si="4"/>
        <v>Mo.</v>
      </c>
      <c r="C30" s="295">
        <f t="shared" si="10"/>
        <v>45922</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-1403.9999999999995</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39</v>
      </c>
      <c r="B31" s="283" t="str">
        <f t="shared" si="4"/>
        <v>Di.</v>
      </c>
      <c r="C31" s="295">
        <f t="shared" si="10"/>
        <v>45923</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-1411.7999999999995</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39</v>
      </c>
      <c r="B32" s="283" t="str">
        <f t="shared" si="4"/>
        <v>Mi.</v>
      </c>
      <c r="C32" s="295">
        <f t="shared" si="10"/>
        <v>45924</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-1419.5999999999995</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39</v>
      </c>
      <c r="B33" s="283" t="str">
        <f t="shared" si="4"/>
        <v>Do.</v>
      </c>
      <c r="C33" s="295">
        <f t="shared" si="10"/>
        <v>45925</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-1427.3999999999994</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39</v>
      </c>
      <c r="B34" s="283" t="str">
        <f t="shared" si="4"/>
        <v>Fr.</v>
      </c>
      <c r="C34" s="295">
        <f t="shared" si="10"/>
        <v>45926</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-1435.1999999999994</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39</v>
      </c>
      <c r="B35" s="283" t="str">
        <f t="shared" si="4"/>
        <v>Sa.</v>
      </c>
      <c r="C35" s="295">
        <f t="shared" si="10"/>
        <v>45927</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v>
      </c>
      <c r="AE35" s="290">
        <f t="shared" si="11"/>
        <v>-1435.1999999999994</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40</v>
      </c>
      <c r="B36" s="283" t="str">
        <f t="shared" si="4"/>
        <v>So.</v>
      </c>
      <c r="C36" s="295">
        <f t="shared" si="10"/>
        <v>45928</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v>
      </c>
      <c r="AE36" s="290">
        <f t="shared" si="11"/>
        <v>-1435.1999999999994</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40</v>
      </c>
      <c r="B37" s="283" t="str">
        <f t="shared" si="4"/>
        <v>Mo.</v>
      </c>
      <c r="C37" s="295">
        <f t="shared" si="10"/>
        <v>45929</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-1442.9999999999993</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40</v>
      </c>
      <c r="B38" s="283" t="str">
        <f t="shared" si="4"/>
        <v>Di.</v>
      </c>
      <c r="C38" s="295">
        <f t="shared" si="10"/>
        <v>45930</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-1450.7999999999993</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hidden="1" customHeight="1" x14ac:dyDescent="0.35">
      <c r="A39" s="331"/>
      <c r="B39" s="283"/>
      <c r="C39" s="295"/>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-1450.7999999999993</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7.1500000000000021</v>
      </c>
      <c r="AB40" s="336">
        <f t="shared" si="14"/>
        <v>0</v>
      </c>
      <c r="AC40" s="336">
        <f t="shared" si="14"/>
        <v>0</v>
      </c>
      <c r="AD40" s="336">
        <f>SUM(AD9:AD39)</f>
        <v>7.1500000000000021</v>
      </c>
      <c r="AE40" s="338">
        <f>(Z40-AD40)*24+I44</f>
        <v>-1450.8000000000004</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SEPTEMBER</v>
      </c>
      <c r="AM42" s="453" t="s">
        <v>137</v>
      </c>
      <c r="AN42" s="454"/>
    </row>
    <row r="43" spans="1:40" s="208" customFormat="1" ht="15" customHeight="1" x14ac:dyDescent="0.3">
      <c r="A43" s="482" t="str">
        <f>IF(I43&lt;0,"Zeitdefizit aktueller Monat","Zeitguthaben aktueller Monat")</f>
        <v>Zeitdefizit aktueller Monat</v>
      </c>
      <c r="B43" s="483"/>
      <c r="C43" s="483"/>
      <c r="D43" s="483"/>
      <c r="E43" s="483"/>
      <c r="F43" s="483"/>
      <c r="G43" s="484"/>
      <c r="H43" s="212">
        <f>IF(I43&lt;0,I43*-1/24,I43/24)</f>
        <v>7.1500000000000021</v>
      </c>
      <c r="I43" s="425">
        <f>(Z40-AD40)*24</f>
        <v>-171.60000000000005</v>
      </c>
      <c r="J43" s="426"/>
      <c r="L43" s="208" t="s">
        <v>163</v>
      </c>
      <c r="P43" s="213">
        <f>'AZ-Modell'!K9</f>
        <v>5</v>
      </c>
      <c r="U43" s="214"/>
      <c r="V43" s="214"/>
      <c r="W43" s="214"/>
      <c r="AE43" s="254"/>
      <c r="AG43" s="487" t="s">
        <v>32</v>
      </c>
      <c r="AH43" s="488"/>
      <c r="AI43" s="297"/>
      <c r="AJ43" s="297"/>
      <c r="AK43" s="298">
        <f>August!AM43</f>
        <v>0</v>
      </c>
      <c r="AL43" s="298">
        <f>COUNTIF($AF$9:$AF$39,$AG43)</f>
        <v>0</v>
      </c>
      <c r="AM43" s="489">
        <f>SUM(AK43:AL43)</f>
        <v>0</v>
      </c>
      <c r="AN43" s="490"/>
    </row>
    <row r="44" spans="1:40" s="208" customFormat="1" ht="15" customHeight="1" x14ac:dyDescent="0.3">
      <c r="A44" s="439" t="str">
        <f>IF(I44&lt;0,"Zeitdefizit Vormonat","Zeitguthaben Vormonat")</f>
        <v>Zeitdefizit Vormonat</v>
      </c>
      <c r="B44" s="440"/>
      <c r="C44" s="440"/>
      <c r="D44" s="440"/>
      <c r="E44" s="440"/>
      <c r="F44" s="440"/>
      <c r="G44" s="441"/>
      <c r="H44" s="218">
        <f>IF(I44&lt;0,I44*-1/24,I44/24)</f>
        <v>53.300000000000011</v>
      </c>
      <c r="I44" s="430">
        <f>August!I46</f>
        <v>-1279.2000000000003</v>
      </c>
      <c r="J44" s="431"/>
      <c r="L44" s="208" t="s">
        <v>164</v>
      </c>
      <c r="P44" s="220">
        <f>'AZ-Modell'!K11</f>
        <v>1.625</v>
      </c>
      <c r="U44" s="214"/>
      <c r="V44" s="214"/>
      <c r="W44" s="214"/>
      <c r="AE44" s="254"/>
      <c r="AG44" s="487" t="s">
        <v>41</v>
      </c>
      <c r="AH44" s="488"/>
      <c r="AI44" s="297"/>
      <c r="AJ44" s="297"/>
      <c r="AK44" s="298">
        <f>August!AM44</f>
        <v>0</v>
      </c>
      <c r="AL44" s="298">
        <f>COUNTIF($AF$9:$AF$39,$AG44)</f>
        <v>0</v>
      </c>
      <c r="AM44" s="489">
        <f t="shared" ref="AM44" si="15">SUM(AK44:AL44)</f>
        <v>0</v>
      </c>
      <c r="AN44" s="490"/>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August!AM45</f>
        <v>0</v>
      </c>
      <c r="AL45" s="298">
        <f t="shared" ref="AL45:AL46" si="16">COUNTIF($AF$9:$AF$39,$AG45)</f>
        <v>0</v>
      </c>
      <c r="AM45" s="489">
        <f t="shared" ref="AM45:AM48" si="17">SUM(AK45:AL45)</f>
        <v>0</v>
      </c>
      <c r="AN45" s="490"/>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60.450000000000017</v>
      </c>
      <c r="I46" s="432">
        <f>SUM(I43:I45)</f>
        <v>-1450.8000000000004</v>
      </c>
      <c r="J46" s="433"/>
      <c r="L46" s="450" t="str">
        <f ca="1">IF(P46&lt;&gt;"","Hinweis:","")</f>
        <v>Hinweis:</v>
      </c>
      <c r="M46" s="450"/>
      <c r="N46" s="450"/>
      <c r="O46" s="450"/>
      <c r="P46" s="476"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6"/>
      <c r="R46" s="476"/>
      <c r="S46" s="476"/>
      <c r="T46" s="476"/>
      <c r="U46" s="476"/>
      <c r="V46" s="476"/>
      <c r="W46" s="476"/>
      <c r="X46" s="476"/>
      <c r="Y46" s="476"/>
      <c r="Z46" s="476"/>
      <c r="AA46" s="476"/>
      <c r="AB46" s="476"/>
      <c r="AC46" s="476"/>
      <c r="AD46" s="476"/>
      <c r="AE46" s="476"/>
      <c r="AF46" s="476"/>
      <c r="AG46" s="323" t="s">
        <v>43</v>
      </c>
      <c r="AH46" s="299"/>
      <c r="AI46" s="297"/>
      <c r="AJ46" s="297"/>
      <c r="AK46" s="298">
        <f>August!AM46</f>
        <v>0</v>
      </c>
      <c r="AL46" s="298">
        <f t="shared" si="16"/>
        <v>0</v>
      </c>
      <c r="AM46" s="489">
        <f t="shared" si="17"/>
        <v>0</v>
      </c>
      <c r="AN46" s="490"/>
    </row>
    <row r="47" spans="1:40" s="208" customFormat="1" ht="14" x14ac:dyDescent="0.3">
      <c r="A47" s="223"/>
      <c r="B47" s="223"/>
      <c r="C47" s="225"/>
      <c r="D47" s="225"/>
      <c r="E47" s="217"/>
      <c r="J47" s="226"/>
      <c r="P47" s="476"/>
      <c r="Q47" s="476"/>
      <c r="R47" s="476"/>
      <c r="S47" s="476"/>
      <c r="T47" s="476"/>
      <c r="U47" s="476"/>
      <c r="V47" s="476"/>
      <c r="W47" s="476"/>
      <c r="X47" s="476"/>
      <c r="Y47" s="476"/>
      <c r="Z47" s="476"/>
      <c r="AA47" s="476"/>
      <c r="AB47" s="476"/>
      <c r="AC47" s="476"/>
      <c r="AD47" s="476"/>
      <c r="AE47" s="476"/>
      <c r="AF47" s="476"/>
      <c r="AG47" s="487" t="s">
        <v>278</v>
      </c>
      <c r="AH47" s="488"/>
      <c r="AI47" s="297"/>
      <c r="AJ47" s="297"/>
      <c r="AK47" s="298">
        <f>August!AM47</f>
        <v>0</v>
      </c>
      <c r="AL47" s="298">
        <f>COUNTIF($AF$9:$AF$39,$AG47)</f>
        <v>0</v>
      </c>
      <c r="AM47" s="489">
        <f t="shared" si="17"/>
        <v>0</v>
      </c>
      <c r="AN47" s="490"/>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85" t="s">
        <v>39</v>
      </c>
      <c r="AH48" s="486"/>
      <c r="AI48" s="316"/>
      <c r="AJ48" s="316"/>
      <c r="AK48" s="317">
        <f>August!AM48</f>
        <v>0</v>
      </c>
      <c r="AL48" s="317">
        <f>COUNTIF($AF$9:$AF$39,$AG48)</f>
        <v>0</v>
      </c>
      <c r="AM48" s="491">
        <f t="shared" si="17"/>
        <v>0</v>
      </c>
      <c r="AN48" s="492"/>
    </row>
    <row r="49" spans="1:33" s="208" customFormat="1" ht="14" x14ac:dyDescent="0.3">
      <c r="A49" s="482" t="str">
        <f>"Urlaubsanspruch für "&amp;Grunddaten!G9&amp;" (inkl. Resturlaub Vorjahr)"</f>
        <v>Urlaubsanspruch für 2025 (inkl. Resturlaub Vorjahr)</v>
      </c>
      <c r="B49" s="483"/>
      <c r="C49" s="483"/>
      <c r="D49" s="483"/>
      <c r="E49" s="483"/>
      <c r="F49" s="483"/>
      <c r="G49" s="483"/>
      <c r="H49" s="484"/>
      <c r="I49" s="434">
        <f>Grunddaten!C48</f>
        <v>30</v>
      </c>
      <c r="J49" s="435"/>
    </row>
    <row r="50" spans="1:33" s="208" customFormat="1" ht="15.5" x14ac:dyDescent="0.35">
      <c r="A50" s="439" t="s">
        <v>169</v>
      </c>
      <c r="B50" s="440"/>
      <c r="C50" s="440"/>
      <c r="D50" s="440"/>
      <c r="E50" s="440"/>
      <c r="F50" s="440"/>
      <c r="G50" s="440"/>
      <c r="H50" s="441"/>
      <c r="I50" s="434">
        <f>I49-August!I53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1"/>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77" t="s">
        <v>172</v>
      </c>
      <c r="C55" s="478"/>
      <c r="D55" s="478"/>
      <c r="E55" s="479"/>
      <c r="F55" s="355" t="s">
        <v>305</v>
      </c>
      <c r="G55" s="355" t="s">
        <v>306</v>
      </c>
      <c r="H55" s="355" t="s">
        <v>318</v>
      </c>
      <c r="I55" s="448" t="s">
        <v>307</v>
      </c>
      <c r="J55" s="449"/>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7.1500000000000021</v>
      </c>
      <c r="H56" s="268">
        <f>(F56-G56)*24</f>
        <v>-171.60000000000005</v>
      </c>
      <c r="I56" s="430">
        <f>August!I56+H56</f>
        <v>-1450.8000000000004</v>
      </c>
      <c r="J56" s="431"/>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80" t="str">
        <f>IF(Grunddaten!C17="","",Grunddaten!C17)</f>
        <v>BBB</v>
      </c>
      <c r="C57" s="480"/>
      <c r="D57" s="480"/>
      <c r="E57" s="481"/>
      <c r="F57" s="230">
        <f t="shared" ref="F57:F58" si="18">SUMIF($D$9:$D$39,$A57,$H$9:$H$39)+SUMIF($I$9:$I$39,$A57,$M$9:$M$39)+SUMIF($N$9:$N$39,$A57,$R$9:$R$39)+SUMIF($S$9:$S$39,$A57,$V$9:$V$39)-SUMIF($W$9:$W$39,$A57,$Y$9:$Y$39)/24</f>
        <v>0</v>
      </c>
      <c r="G57" s="230">
        <f>AB40</f>
        <v>0</v>
      </c>
      <c r="H57" s="219">
        <f t="shared" ref="H57:H58" si="19">(F57-G57)*24</f>
        <v>0</v>
      </c>
      <c r="I57" s="425">
        <f>August!I57+H57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August!I58+H58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I44:J44"/>
    <mergeCell ref="I46:J46"/>
    <mergeCell ref="I42:J42"/>
    <mergeCell ref="I43:J43"/>
    <mergeCell ref="AG43:AH43"/>
    <mergeCell ref="AG44:AH44"/>
    <mergeCell ref="L46:O46"/>
    <mergeCell ref="P46:AF47"/>
    <mergeCell ref="AA7:AD7"/>
    <mergeCell ref="AH4:AJ4"/>
    <mergeCell ref="AG48:AH48"/>
    <mergeCell ref="AG47:AH47"/>
    <mergeCell ref="A1:AN1"/>
    <mergeCell ref="W7:X7"/>
    <mergeCell ref="AK7:AN7"/>
    <mergeCell ref="B7:C7"/>
    <mergeCell ref="D7:H7"/>
    <mergeCell ref="I7:M7"/>
    <mergeCell ref="N7:R7"/>
    <mergeCell ref="S7:V7"/>
    <mergeCell ref="A42:G42"/>
    <mergeCell ref="A43:G43"/>
    <mergeCell ref="A44:G44"/>
    <mergeCell ref="A46:G46"/>
    <mergeCell ref="A48:H48"/>
    <mergeCell ref="A49:H49"/>
    <mergeCell ref="A50:H50"/>
    <mergeCell ref="A51:H51"/>
    <mergeCell ref="A53:H53"/>
    <mergeCell ref="I48:J48"/>
    <mergeCell ref="I49:J49"/>
    <mergeCell ref="I50:J50"/>
    <mergeCell ref="I51:J51"/>
    <mergeCell ref="I53:J53"/>
    <mergeCell ref="B55:E55"/>
    <mergeCell ref="B56:E56"/>
    <mergeCell ref="B57:E57"/>
    <mergeCell ref="B58:E58"/>
    <mergeCell ref="I55:J55"/>
    <mergeCell ref="I56:J56"/>
    <mergeCell ref="I57:J57"/>
    <mergeCell ref="I58:J58"/>
  </mergeCells>
  <conditionalFormatting sqref="A9:AN39">
    <cfRule type="expression" priority="1">
      <formula>AND(WEEKDAY($C9)&gt;1,WEEKDAY($C9)&lt;7)</formula>
    </cfRule>
  </conditionalFormatting>
  <conditionalFormatting sqref="H9:H39">
    <cfRule type="expression" dxfId="42"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40"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38"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33"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C00-000000000000}">
      <formula1>0</formula1>
      <formula2>0.333333333333333</formula2>
    </dataValidation>
    <dataValidation type="list" allowBlank="1" showInputMessage="1" sqref="D9:D39 N9:N39 I9:I39" xr:uid="{00000000-0002-0000-0C00-000001000000}">
      <formula1>"1,2,3"</formula1>
    </dataValidation>
    <dataValidation type="list" allowBlank="1" showInputMessage="1" showErrorMessage="1" sqref="W9:W39" xr:uid="{00000000-0002-0000-0C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299B35FC-9A52-40D0-861C-F009D7AD8AA8}">
            <xm:f>OR(COUNTIF(Grunddaten!$F$35:$F$58,$C10)&gt;0,WEEKDAY($C10)=1,WEEKDAY($C10)=7)</xm:f>
            <x14:dxf>
              <fill>
                <patternFill>
                  <bgColor theme="4" tint="0.79998168889431442"/>
                </patternFill>
              </fill>
              <border>
                <top style="thin">
                  <color theme="0"/>
                </top>
                <bottom style="thin">
                  <color theme="0"/>
                </bottom>
              </border>
            </x14:dxf>
          </x14:cfRule>
          <xm:sqref>D10:G39</xm:sqref>
        </x14:conditionalFormatting>
        <x14:conditionalFormatting xmlns:xm="http://schemas.microsoft.com/office/excel/2006/main">
          <x14:cfRule type="expression" priority="4" id="{68FFDE26-440D-4080-9F81-6622DBF27D83}">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3" id="{764E143C-96AD-45BC-A0BD-19B10AAFEC44}">
            <xm:f>OR(COUNTIF(Grunddaten!$F$35:$F$58,$C10)&gt;0,WEEKDAY($C10)=1,WEEKDAY($C10)=7)</xm:f>
            <x14:dxf>
              <fill>
                <patternFill>
                  <bgColor theme="4" tint="0.79998168889431442"/>
                </patternFill>
              </fill>
              <border>
                <top style="thin">
                  <color theme="0"/>
                </top>
                <bottom style="thin">
                  <color theme="0"/>
                </bottom>
              </border>
            </x14:dxf>
          </x14:cfRule>
          <xm:sqref>H10:N39</xm:sqref>
        </x14:conditionalFormatting>
        <x14:conditionalFormatting xmlns:xm="http://schemas.microsoft.com/office/excel/2006/main">
          <x14:cfRule type="expression" priority="15" id="{D5631DD1-8FFA-4EAB-AEC1-C3F4369C7413}">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6" id="{408C7989-00F1-4D16-99CE-0BF8EA56AAEA}">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D15B0C8A-D70E-40D1-BC60-D6685E119635}">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21" id="{CD6853E3-F281-4BFE-B031-7434507B9270}">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7" id="{2FB74798-D4EC-44D1-A343-C5B4F0489F58}">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C00-000003000000}">
          <x14:formula1>
            <xm:f>Grunddaten!$B$16:$B$21</xm:f>
          </x14:formula1>
          <xm:sqref>S9:S39</xm:sqref>
        </x14:dataValidation>
        <x14:dataValidation type="list" allowBlank="1" showInputMessage="1" xr:uid="{00000000-0002-0000-0C00-000004000000}">
          <x14:formula1>
            <xm:f>Grunddaten!$F$15:$F$32</xm:f>
          </x14:formula1>
          <xm:sqref>AF39</xm:sqref>
        </x14:dataValidation>
        <x14:dataValidation type="list" allowBlank="1" showInputMessage="1" xr:uid="{00000000-0002-0000-0C00-000005000000}">
          <x14:formula1>
            <xm:f>Grunddaten!$F$63:$F$92</xm:f>
          </x14:formula1>
          <xm:sqref>AG39</xm:sqref>
        </x14:dataValidation>
        <x14:dataValidation type="list" allowBlank="1" showInputMessage="1" xr:uid="{00000000-0002-0000-0C00-000006000000}">
          <x14:formula1>
            <xm:f>Grunddaten!$F$14:$F$32</xm:f>
          </x14:formula1>
          <xm:sqref>AF9:AF38</xm:sqref>
        </x14:dataValidation>
        <x14:dataValidation type="list" allowBlank="1" showInputMessage="1" xr:uid="{00000000-0002-0000-0C00-000007000000}">
          <x14:formula1>
            <xm:f>Grunddaten!$F$62:$F$92</xm:f>
          </x14:formula1>
          <xm:sqref>AG9:AG38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2">
    <tabColor theme="7" tint="0.79998168889431442"/>
    <pageSetUpPr fitToPage="1"/>
  </sheetPr>
  <dimension ref="A1:AN68"/>
  <sheetViews>
    <sheetView showGridLines="0" zoomScale="75" zoomScaleNormal="75" workbookViewId="0">
      <pane ySplit="8" topLeftCell="A24"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182</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40</v>
      </c>
      <c r="B9" s="283" t="str">
        <f>IF(WEEKDAY($C9,1)=1,"So.",IF(WEEKDAY($C9,1)=2,"Mo.",IF(WEEKDAY($C9,1)=3,"Di.",IF(WEEKDAY($C9,1)=4,"Mi.",IF(WEEKDAY($C9,1)=5,"Do.",IF(WEEKDAY($C9,1)=6,"Fr.","Sa."))))))</f>
        <v>Mi.</v>
      </c>
      <c r="C9" s="284">
        <f>DATE(Grunddaten!G9,10,1)</f>
        <v>45931</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-1458.6000000000004</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40</v>
      </c>
      <c r="B10" s="283" t="str">
        <f t="shared" ref="B10:B39" si="4">IF(WEEKDAY($C10,1)=1,"So.",IF(WEEKDAY($C10,1)=2,"Mo.",IF(WEEKDAY($C10,1)=3,"Di.",IF(WEEKDAY($C10,1)=4,"Mi.",IF(WEEKDAY($C10,1)=5,"Do.",IF(WEEKDAY($C10,1)=6,"Fr.","Sa."))))))</f>
        <v>Do.</v>
      </c>
      <c r="C10" s="284">
        <f>C9+1</f>
        <v>45932</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-1466.4000000000003</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40</v>
      </c>
      <c r="B11" s="283" t="str">
        <f t="shared" si="4"/>
        <v>Fr.</v>
      </c>
      <c r="C11" s="284">
        <f t="shared" ref="C11:C39" si="10">C10+1</f>
        <v>45933</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v>
      </c>
      <c r="AE11" s="290">
        <f t="shared" ref="AE11:AE39" si="11">(Z11-AD11)*24+AE10</f>
        <v>-1466.4000000000003</v>
      </c>
      <c r="AF11" s="292" t="str">
        <f>IFERROR(VLOOKUP($C11,Grunddaten!$F$36:$G$59,2,0),"")</f>
        <v>Tag der deutschen Einheit</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40</v>
      </c>
      <c r="B12" s="283" t="str">
        <f t="shared" si="4"/>
        <v>Sa.</v>
      </c>
      <c r="C12" s="284">
        <f t="shared" si="10"/>
        <v>45934</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v>
      </c>
      <c r="AE12" s="290">
        <f t="shared" si="11"/>
        <v>-1466.4000000000003</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41</v>
      </c>
      <c r="B13" s="283" t="str">
        <f t="shared" si="4"/>
        <v>So.</v>
      </c>
      <c r="C13" s="284">
        <f t="shared" si="10"/>
        <v>45935</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v>
      </c>
      <c r="AE13" s="290">
        <f t="shared" si="11"/>
        <v>-1466.4000000000003</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41</v>
      </c>
      <c r="B14" s="283" t="str">
        <f t="shared" si="4"/>
        <v>Mo.</v>
      </c>
      <c r="C14" s="284">
        <f t="shared" si="10"/>
        <v>45936</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-1474.2000000000003</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41</v>
      </c>
      <c r="B15" s="283" t="str">
        <f t="shared" si="4"/>
        <v>Di.</v>
      </c>
      <c r="C15" s="284">
        <f t="shared" si="10"/>
        <v>45937</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-1482.0000000000002</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41</v>
      </c>
      <c r="B16" s="283" t="str">
        <f t="shared" si="4"/>
        <v>Mi.</v>
      </c>
      <c r="C16" s="284">
        <f t="shared" si="10"/>
        <v>45938</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-1489.8000000000002</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41</v>
      </c>
      <c r="B17" s="283" t="str">
        <f t="shared" si="4"/>
        <v>Do.</v>
      </c>
      <c r="C17" s="284">
        <f t="shared" si="10"/>
        <v>45939</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-1497.6000000000001</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41</v>
      </c>
      <c r="B18" s="283" t="str">
        <f t="shared" si="4"/>
        <v>Fr.</v>
      </c>
      <c r="C18" s="284">
        <f t="shared" si="10"/>
        <v>45940</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-1505.4</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41</v>
      </c>
      <c r="B19" s="283" t="str">
        <f t="shared" si="4"/>
        <v>Sa.</v>
      </c>
      <c r="C19" s="284">
        <f t="shared" si="10"/>
        <v>45941</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v>
      </c>
      <c r="AE19" s="290">
        <f t="shared" si="11"/>
        <v>-1505.4</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42</v>
      </c>
      <c r="B20" s="283" t="str">
        <f t="shared" si="4"/>
        <v>So.</v>
      </c>
      <c r="C20" s="284">
        <f t="shared" si="10"/>
        <v>45942</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v>
      </c>
      <c r="AE20" s="290">
        <f t="shared" si="11"/>
        <v>-1505.4</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42</v>
      </c>
      <c r="B21" s="283" t="str">
        <f t="shared" si="4"/>
        <v>Mo.</v>
      </c>
      <c r="C21" s="284">
        <f t="shared" si="10"/>
        <v>45943</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-1513.2</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42</v>
      </c>
      <c r="B22" s="283" t="str">
        <f t="shared" si="4"/>
        <v>Di.</v>
      </c>
      <c r="C22" s="284">
        <f t="shared" si="10"/>
        <v>45944</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-1521</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42</v>
      </c>
      <c r="B23" s="283" t="str">
        <f t="shared" si="4"/>
        <v>Mi.</v>
      </c>
      <c r="C23" s="284">
        <f t="shared" si="10"/>
        <v>45945</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-1528.8</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42</v>
      </c>
      <c r="B24" s="283" t="str">
        <f t="shared" si="4"/>
        <v>Do.</v>
      </c>
      <c r="C24" s="284">
        <f t="shared" si="10"/>
        <v>45946</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-1536.6</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42</v>
      </c>
      <c r="B25" s="283" t="str">
        <f t="shared" si="4"/>
        <v>Fr.</v>
      </c>
      <c r="C25" s="284">
        <f t="shared" si="10"/>
        <v>45947</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-1544.3999999999999</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42</v>
      </c>
      <c r="B26" s="283" t="str">
        <f t="shared" si="4"/>
        <v>Sa.</v>
      </c>
      <c r="C26" s="284">
        <f t="shared" si="10"/>
        <v>45948</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v>
      </c>
      <c r="AE26" s="290">
        <f t="shared" si="11"/>
        <v>-1544.3999999999999</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43</v>
      </c>
      <c r="B27" s="283" t="str">
        <f t="shared" si="4"/>
        <v>So.</v>
      </c>
      <c r="C27" s="284">
        <f t="shared" si="10"/>
        <v>45949</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v>
      </c>
      <c r="AE27" s="290">
        <f t="shared" si="11"/>
        <v>-1544.3999999999999</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43</v>
      </c>
      <c r="B28" s="283" t="str">
        <f t="shared" si="4"/>
        <v>Mo.</v>
      </c>
      <c r="C28" s="284">
        <f t="shared" si="10"/>
        <v>45950</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-1552.1999999999998</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43</v>
      </c>
      <c r="B29" s="283" t="str">
        <f t="shared" si="4"/>
        <v>Di.</v>
      </c>
      <c r="C29" s="284">
        <f t="shared" si="10"/>
        <v>45951</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-1559.9999999999998</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43</v>
      </c>
      <c r="B30" s="283" t="str">
        <f t="shared" si="4"/>
        <v>Mi.</v>
      </c>
      <c r="C30" s="284">
        <f t="shared" si="10"/>
        <v>45952</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-1567.7999999999997</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43</v>
      </c>
      <c r="B31" s="283" t="str">
        <f t="shared" si="4"/>
        <v>Do.</v>
      </c>
      <c r="C31" s="284">
        <f t="shared" si="10"/>
        <v>45953</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-1575.5999999999997</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43</v>
      </c>
      <c r="B32" s="283" t="str">
        <f t="shared" si="4"/>
        <v>Fr.</v>
      </c>
      <c r="C32" s="284">
        <f t="shared" si="10"/>
        <v>45954</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-1583.3999999999996</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43</v>
      </c>
      <c r="B33" s="283" t="str">
        <f t="shared" si="4"/>
        <v>Sa.</v>
      </c>
      <c r="C33" s="284">
        <f t="shared" si="10"/>
        <v>45955</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v>
      </c>
      <c r="AE33" s="290">
        <f t="shared" si="11"/>
        <v>-1583.3999999999996</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44</v>
      </c>
      <c r="B34" s="283" t="str">
        <f t="shared" si="4"/>
        <v>So.</v>
      </c>
      <c r="C34" s="284">
        <f t="shared" si="10"/>
        <v>45956</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v>
      </c>
      <c r="AE34" s="290">
        <f t="shared" si="11"/>
        <v>-1583.3999999999996</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44</v>
      </c>
      <c r="B35" s="283" t="str">
        <f t="shared" si="4"/>
        <v>Mo.</v>
      </c>
      <c r="C35" s="284">
        <f t="shared" si="10"/>
        <v>45957</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-1591.1999999999996</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44</v>
      </c>
      <c r="B36" s="283" t="str">
        <f t="shared" si="4"/>
        <v>Di.</v>
      </c>
      <c r="C36" s="284">
        <f t="shared" si="10"/>
        <v>45958</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-1598.9999999999995</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44</v>
      </c>
      <c r="B37" s="283" t="str">
        <f t="shared" si="4"/>
        <v>Mi.</v>
      </c>
      <c r="C37" s="284">
        <f t="shared" si="10"/>
        <v>45959</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-1606.7999999999995</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44</v>
      </c>
      <c r="B38" s="283" t="str">
        <f t="shared" si="4"/>
        <v>Do.</v>
      </c>
      <c r="C38" s="284">
        <f t="shared" si="10"/>
        <v>45960</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-1614.5999999999995</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44</v>
      </c>
      <c r="B39" s="283" t="str">
        <f t="shared" si="4"/>
        <v>Fr.</v>
      </c>
      <c r="C39" s="284">
        <f t="shared" si="10"/>
        <v>45961</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0.32500000000000001</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0.32500000000000001</v>
      </c>
      <c r="AE39" s="290">
        <f t="shared" si="11"/>
        <v>-1622.3999999999994</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7.1500000000000021</v>
      </c>
      <c r="AB40" s="336">
        <f t="shared" si="14"/>
        <v>0</v>
      </c>
      <c r="AC40" s="336">
        <f t="shared" si="14"/>
        <v>0</v>
      </c>
      <c r="AD40" s="336">
        <f>SUM(AD9:AD39)</f>
        <v>7.1500000000000021</v>
      </c>
      <c r="AE40" s="338">
        <f>(Z40-AD40)*24+I44</f>
        <v>-1622.4000000000005</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43" t="s">
        <v>167</v>
      </c>
      <c r="AH42" s="344"/>
      <c r="AI42" s="344"/>
      <c r="AJ42" s="344"/>
      <c r="AK42" s="321" t="s">
        <v>304</v>
      </c>
      <c r="AL42" s="322" t="str">
        <f>$D$6</f>
        <v>OKTOBER</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7.1500000000000021</v>
      </c>
      <c r="I43" s="430">
        <f>(Z40-AD40)*24</f>
        <v>-171.60000000000005</v>
      </c>
      <c r="J43" s="431"/>
      <c r="L43" s="208" t="s">
        <v>163</v>
      </c>
      <c r="P43" s="213">
        <f>'AZ-Modell'!L9</f>
        <v>5</v>
      </c>
      <c r="U43" s="214"/>
      <c r="V43" s="214"/>
      <c r="W43" s="214"/>
      <c r="AE43" s="254"/>
      <c r="AG43" s="457" t="s">
        <v>32</v>
      </c>
      <c r="AH43" s="458"/>
      <c r="AI43" s="297"/>
      <c r="AJ43" s="297"/>
      <c r="AK43" s="298">
        <f>September!AM43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60.450000000000017</v>
      </c>
      <c r="I44" s="430">
        <f>September!I46</f>
        <v>-1450.8000000000004</v>
      </c>
      <c r="J44" s="431"/>
      <c r="L44" s="208" t="s">
        <v>164</v>
      </c>
      <c r="P44" s="220">
        <f>'AZ-Modell'!L11</f>
        <v>1.625</v>
      </c>
      <c r="U44" s="214"/>
      <c r="V44" s="214"/>
      <c r="W44" s="214"/>
      <c r="AE44" s="254"/>
      <c r="AG44" s="457" t="s">
        <v>41</v>
      </c>
      <c r="AH44" s="458"/>
      <c r="AI44" s="297"/>
      <c r="AJ44" s="297"/>
      <c r="AK44" s="298">
        <f>September!AM44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September!AM45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67.600000000000023</v>
      </c>
      <c r="I46" s="432">
        <f>SUM(I43:I45)</f>
        <v>-1622.4000000000005</v>
      </c>
      <c r="J46" s="433"/>
      <c r="L46" s="450" t="str">
        <f ca="1">IF(P46&lt;&gt;"","Hinweis:","")</f>
        <v>Hinweis:</v>
      </c>
      <c r="M46" s="450"/>
      <c r="N46" s="450"/>
      <c r="O46" s="450"/>
      <c r="P46" s="475" t="str">
        <f ca="1">IF(TODAY()&gt;=C40,IF((I46/24)&gt;P44,"Ihr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f>September!AM46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September!AM47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September!AM48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I49-September!I53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7.1500000000000021</v>
      </c>
      <c r="H56" s="268">
        <f>(F56-G56)*24</f>
        <v>-171.60000000000005</v>
      </c>
      <c r="I56" s="423">
        <f>September!I56+H56</f>
        <v>-1622.4000000000005</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September!I57+H57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September!I58+H58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3:AH43"/>
    <mergeCell ref="AG44:AH44"/>
    <mergeCell ref="AG47:AH47"/>
    <mergeCell ref="AG48:AH48"/>
    <mergeCell ref="A42:G42"/>
    <mergeCell ref="A43:G43"/>
    <mergeCell ref="A44:G44"/>
    <mergeCell ref="A46:G46"/>
    <mergeCell ref="A1:AN1"/>
    <mergeCell ref="D7:H7"/>
    <mergeCell ref="I7:M7"/>
    <mergeCell ref="N7:R7"/>
    <mergeCell ref="W7:X7"/>
    <mergeCell ref="B7:C7"/>
    <mergeCell ref="AA7:AD7"/>
    <mergeCell ref="AH4:AJ4"/>
    <mergeCell ref="S7:V7"/>
    <mergeCell ref="AK7:AN7"/>
    <mergeCell ref="P46:AF47"/>
    <mergeCell ref="I42:J42"/>
    <mergeCell ref="I43:J43"/>
    <mergeCell ref="I44:J44"/>
    <mergeCell ref="I46:J46"/>
    <mergeCell ref="A50:H50"/>
    <mergeCell ref="A51:H51"/>
    <mergeCell ref="A53:H53"/>
    <mergeCell ref="L46:O46"/>
    <mergeCell ref="I48:J48"/>
    <mergeCell ref="I49:J49"/>
    <mergeCell ref="I50:J50"/>
    <mergeCell ref="I51:J51"/>
    <mergeCell ref="I53:J53"/>
    <mergeCell ref="A48:H48"/>
    <mergeCell ref="A49:H49"/>
    <mergeCell ref="B55:E55"/>
    <mergeCell ref="B56:E56"/>
    <mergeCell ref="B57:E57"/>
    <mergeCell ref="B58:E58"/>
    <mergeCell ref="I55:J55"/>
    <mergeCell ref="I56:J56"/>
    <mergeCell ref="I57:J57"/>
    <mergeCell ref="I58:J58"/>
  </mergeCells>
  <conditionalFormatting sqref="A9:AN39">
    <cfRule type="expression" priority="1">
      <formula>AND(WEEKDAY($C9)&gt;1,WEEKDAY($C9)&lt;7)</formula>
    </cfRule>
  </conditionalFormatting>
  <conditionalFormatting sqref="H9:H39">
    <cfRule type="expression" dxfId="30"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29"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27"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22" priority="16">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D00-000000000000}">
      <formula1>0</formula1>
      <formula2>0.333333333333333</formula2>
    </dataValidation>
    <dataValidation type="list" allowBlank="1" showInputMessage="1" sqref="D9:D39 N9:N39 I9:I39" xr:uid="{00000000-0002-0000-0D00-000001000000}">
      <formula1>"1,2,3"</formula1>
    </dataValidation>
    <dataValidation type="list" allowBlank="1" showInputMessage="1" showErrorMessage="1" sqref="W9:W39" xr:uid="{00000000-0002-0000-0D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8249CAB8-0008-4702-B0AB-1AD69F31E28A}">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1" id="{C5B73446-0C82-4ACA-B136-EA82B810E2B9}">
            <xm:f>OR(COUNTIF(Grunddaten!$F$35:$F$58,$C10)&gt;0,WEEKDAY($C10)=1,WEEKDAY($C10)=7)</xm:f>
            <x14:dxf>
              <fill>
                <patternFill>
                  <bgColor theme="4" tint="0.79998168889431442"/>
                </patternFill>
              </fill>
              <border>
                <top style="thin">
                  <color theme="0"/>
                </top>
                <bottom style="thin">
                  <color theme="0"/>
                </bottom>
              </border>
            </x14:dxf>
          </x14:cfRule>
          <xm:sqref>D10:N39</xm:sqref>
        </x14:conditionalFormatting>
        <x14:conditionalFormatting xmlns:xm="http://schemas.microsoft.com/office/excel/2006/main">
          <x14:cfRule type="expression" priority="13" id="{63E087A9-F7D1-4AD7-A05D-4DCFA0F2CC93}">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4" id="{8FE96259-BC48-4211-9523-E2ED8652B862}">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CC2742A2-CF98-431E-A07C-4B1562E9B014}">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19" id="{68C55563-47F5-4F15-A92A-FE789954A3C0}">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5" id="{B9234954-216D-4DA2-83B9-31BB83B5B9D6}">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3000000}">
          <x14:formula1>
            <xm:f>Grunddaten!$B$16:$B$21</xm:f>
          </x14:formula1>
          <xm:sqref>S9:S39</xm:sqref>
        </x14:dataValidation>
        <x14:dataValidation type="list" allowBlank="1" showInputMessage="1" xr:uid="{00000000-0002-0000-0D00-000004000000}">
          <x14:formula1>
            <xm:f>Grunddaten!$F$14:$F$32</xm:f>
          </x14:formula1>
          <xm:sqref>AF9:AF39</xm:sqref>
        </x14:dataValidation>
        <x14:dataValidation type="list" allowBlank="1" showInputMessage="1" xr:uid="{00000000-0002-0000-0D00-000005000000}">
          <x14:formula1>
            <xm:f>Grunddaten!$F$62:$F$92</xm:f>
          </x14:formula1>
          <xm:sqref>AG9:AG39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3">
    <tabColor theme="7" tint="0.79998168889431442"/>
    <pageSetUpPr fitToPage="1"/>
  </sheetPr>
  <dimension ref="A1:AN68"/>
  <sheetViews>
    <sheetView showGridLines="0" zoomScale="75" zoomScaleNormal="75" workbookViewId="0">
      <pane ySplit="8" topLeftCell="A21"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183</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44</v>
      </c>
      <c r="B9" s="283" t="str">
        <f>IF(WEEKDAY($C9,1)=1,"So.",IF(WEEKDAY($C9,1)=2,"Mo.",IF(WEEKDAY($C9,1)=3,"Di.",IF(WEEKDAY($C9,1)=4,"Mi.",IF(WEEKDAY($C9,1)=5,"Do.",IF(WEEKDAY($C9,1)=6,"Fr.","Sa."))))))</f>
        <v>Sa.</v>
      </c>
      <c r="C9" s="284">
        <f>DATE(Grunddaten!G9,11,1)</f>
        <v>45962</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-1622.4000000000005</v>
      </c>
      <c r="AF9" s="292" t="str">
        <f>IFERROR(VLOOKUP($C9,Grunddaten!$F$36:$G$59,2,0),"")</f>
        <v>Allerheiligen</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8" si="3">WEEKNUM($C10)</f>
        <v>45</v>
      </c>
      <c r="B10" s="283" t="str">
        <f t="shared" ref="B10:B38" si="4">IF(WEEKDAY($C10,1)=1,"So.",IF(WEEKDAY($C10,1)=2,"Mo.",IF(WEEKDAY($C10,1)=3,"Di.",IF(WEEKDAY($C10,1)=4,"Mi.",IF(WEEKDAY($C10,1)=5,"Do.",IF(WEEKDAY($C10,1)=6,"Fr.","Sa."))))))</f>
        <v>So.</v>
      </c>
      <c r="C10" s="284">
        <f>C9+1</f>
        <v>45963</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v>
      </c>
      <c r="AE10" s="290">
        <f>(Z10-AD10)*24+AE9</f>
        <v>-1622.4000000000005</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45</v>
      </c>
      <c r="B11" s="283" t="str">
        <f t="shared" si="4"/>
        <v>Mo.</v>
      </c>
      <c r="C11" s="284">
        <f t="shared" ref="C11:C38" si="10">C10+1</f>
        <v>45964</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-1630.2000000000005</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45</v>
      </c>
      <c r="B12" s="283" t="str">
        <f t="shared" si="4"/>
        <v>Di.</v>
      </c>
      <c r="C12" s="284">
        <f t="shared" si="10"/>
        <v>45965</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-1638.0000000000005</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45</v>
      </c>
      <c r="B13" s="283" t="str">
        <f t="shared" si="4"/>
        <v>Mi.</v>
      </c>
      <c r="C13" s="284">
        <f t="shared" si="10"/>
        <v>45966</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-1645.8000000000004</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45</v>
      </c>
      <c r="B14" s="283" t="str">
        <f t="shared" si="4"/>
        <v>Do.</v>
      </c>
      <c r="C14" s="284">
        <f t="shared" si="10"/>
        <v>45967</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-1653.6000000000004</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45</v>
      </c>
      <c r="B15" s="283" t="str">
        <f t="shared" si="4"/>
        <v>Fr.</v>
      </c>
      <c r="C15" s="284">
        <f t="shared" si="10"/>
        <v>45968</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-1661.4000000000003</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45</v>
      </c>
      <c r="B16" s="283" t="str">
        <f t="shared" si="4"/>
        <v>Sa.</v>
      </c>
      <c r="C16" s="284">
        <f t="shared" si="10"/>
        <v>45969</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v>
      </c>
      <c r="AE16" s="290">
        <f t="shared" si="11"/>
        <v>-1661.4000000000003</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46</v>
      </c>
      <c r="B17" s="283" t="str">
        <f t="shared" si="4"/>
        <v>So.</v>
      </c>
      <c r="C17" s="284">
        <f t="shared" si="10"/>
        <v>45970</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v>
      </c>
      <c r="AE17" s="290">
        <f t="shared" si="11"/>
        <v>-1661.4000000000003</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46</v>
      </c>
      <c r="B18" s="283" t="str">
        <f t="shared" si="4"/>
        <v>Mo.</v>
      </c>
      <c r="C18" s="284">
        <f t="shared" si="10"/>
        <v>45971</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-1669.2000000000003</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46</v>
      </c>
      <c r="B19" s="283" t="str">
        <f t="shared" si="4"/>
        <v>Di.</v>
      </c>
      <c r="C19" s="284">
        <f t="shared" si="10"/>
        <v>45972</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-1677.0000000000002</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46</v>
      </c>
      <c r="B20" s="283" t="str">
        <f t="shared" si="4"/>
        <v>Mi.</v>
      </c>
      <c r="C20" s="284">
        <f t="shared" si="10"/>
        <v>45973</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-1684.8000000000002</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46</v>
      </c>
      <c r="B21" s="283" t="str">
        <f t="shared" si="4"/>
        <v>Do.</v>
      </c>
      <c r="C21" s="284">
        <f t="shared" si="10"/>
        <v>45974</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-1692.6000000000001</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46</v>
      </c>
      <c r="B22" s="283" t="str">
        <f t="shared" si="4"/>
        <v>Fr.</v>
      </c>
      <c r="C22" s="284">
        <f t="shared" si="10"/>
        <v>45975</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-1700.4</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46</v>
      </c>
      <c r="B23" s="283" t="str">
        <f t="shared" si="4"/>
        <v>Sa.</v>
      </c>
      <c r="C23" s="284">
        <f t="shared" si="10"/>
        <v>45976</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v>
      </c>
      <c r="AE23" s="290">
        <f t="shared" si="11"/>
        <v>-1700.4</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47</v>
      </c>
      <c r="B24" s="283" t="str">
        <f t="shared" si="4"/>
        <v>So.</v>
      </c>
      <c r="C24" s="284">
        <f t="shared" si="10"/>
        <v>45977</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v>
      </c>
      <c r="AE24" s="290">
        <f t="shared" si="11"/>
        <v>-1700.4</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47</v>
      </c>
      <c r="B25" s="283" t="str">
        <f t="shared" si="4"/>
        <v>Mo.</v>
      </c>
      <c r="C25" s="284">
        <f t="shared" si="10"/>
        <v>45978</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-1708.2</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47</v>
      </c>
      <c r="B26" s="283" t="str">
        <f t="shared" si="4"/>
        <v>Di.</v>
      </c>
      <c r="C26" s="284">
        <f t="shared" si="10"/>
        <v>45979</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-1716</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47</v>
      </c>
      <c r="B27" s="283" t="str">
        <f t="shared" si="4"/>
        <v>Mi.</v>
      </c>
      <c r="C27" s="284">
        <f t="shared" si="10"/>
        <v>45980</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-1723.8</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47</v>
      </c>
      <c r="B28" s="283" t="str">
        <f t="shared" si="4"/>
        <v>Do.</v>
      </c>
      <c r="C28" s="284">
        <f t="shared" si="10"/>
        <v>45981</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-1731.6</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47</v>
      </c>
      <c r="B29" s="283" t="str">
        <f t="shared" si="4"/>
        <v>Fr.</v>
      </c>
      <c r="C29" s="284">
        <f t="shared" si="10"/>
        <v>45982</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-1739.3999999999999</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47</v>
      </c>
      <c r="B30" s="283" t="str">
        <f t="shared" si="4"/>
        <v>Sa.</v>
      </c>
      <c r="C30" s="284">
        <f t="shared" si="10"/>
        <v>45983</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v>
      </c>
      <c r="AE30" s="290">
        <f t="shared" si="11"/>
        <v>-1739.3999999999999</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48</v>
      </c>
      <c r="B31" s="283" t="str">
        <f t="shared" si="4"/>
        <v>So.</v>
      </c>
      <c r="C31" s="284">
        <f t="shared" si="10"/>
        <v>45984</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v>
      </c>
      <c r="AE31" s="290">
        <f t="shared" si="11"/>
        <v>-1739.3999999999999</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48</v>
      </c>
      <c r="B32" s="283" t="str">
        <f t="shared" si="4"/>
        <v>Mo.</v>
      </c>
      <c r="C32" s="284">
        <f t="shared" si="10"/>
        <v>45985</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-1747.1999999999998</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48</v>
      </c>
      <c r="B33" s="283" t="str">
        <f t="shared" si="4"/>
        <v>Di.</v>
      </c>
      <c r="C33" s="284">
        <f t="shared" si="10"/>
        <v>45986</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-1754.9999999999998</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48</v>
      </c>
      <c r="B34" s="283" t="str">
        <f t="shared" si="4"/>
        <v>Mi.</v>
      </c>
      <c r="C34" s="284">
        <f t="shared" si="10"/>
        <v>45987</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-1762.7999999999997</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48</v>
      </c>
      <c r="B35" s="283" t="str">
        <f t="shared" si="4"/>
        <v>Do.</v>
      </c>
      <c r="C35" s="284">
        <f t="shared" si="10"/>
        <v>45988</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-1770.5999999999997</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48</v>
      </c>
      <c r="B36" s="283" t="str">
        <f t="shared" si="4"/>
        <v>Fr.</v>
      </c>
      <c r="C36" s="284">
        <f t="shared" si="10"/>
        <v>45989</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-1778.3999999999996</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48</v>
      </c>
      <c r="B37" s="283" t="str">
        <f t="shared" si="4"/>
        <v>Sa.</v>
      </c>
      <c r="C37" s="284">
        <f t="shared" si="10"/>
        <v>45990</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v>
      </c>
      <c r="AE37" s="290">
        <f t="shared" si="11"/>
        <v>-1778.3999999999996</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49</v>
      </c>
      <c r="B38" s="283" t="str">
        <f t="shared" si="4"/>
        <v>So.</v>
      </c>
      <c r="C38" s="284">
        <f t="shared" si="10"/>
        <v>45991</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v>
      </c>
      <c r="AE38" s="290">
        <f t="shared" si="11"/>
        <v>-1778.3999999999996</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hidden="1" customHeight="1" x14ac:dyDescent="0.35">
      <c r="A39" s="331"/>
      <c r="B39" s="283"/>
      <c r="C39" s="284"/>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-1778.3999999999996</v>
      </c>
      <c r="AF39" s="292" t="str">
        <f>IFERROR(VLOOKUP($C39,Grunddaten!$F$36:$G$59,2,0),"")</f>
        <v/>
      </c>
      <c r="AG39" s="293"/>
      <c r="AH39" s="286">
        <v>0</v>
      </c>
      <c r="AI39" s="291">
        <f t="shared" si="8"/>
        <v>0</v>
      </c>
      <c r="AJ39" s="292"/>
      <c r="AK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6.5000000000000018</v>
      </c>
      <c r="AB40" s="336">
        <f t="shared" si="14"/>
        <v>0</v>
      </c>
      <c r="AC40" s="336">
        <f t="shared" si="14"/>
        <v>0</v>
      </c>
      <c r="AD40" s="336">
        <f>SUM(AD9:AD39)</f>
        <v>6.5000000000000018</v>
      </c>
      <c r="AE40" s="338">
        <f>(Z40-AD40)*24+I44</f>
        <v>-1778.4000000000005</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43" t="s">
        <v>167</v>
      </c>
      <c r="AH42" s="344"/>
      <c r="AI42" s="344"/>
      <c r="AJ42" s="344"/>
      <c r="AK42" s="321" t="s">
        <v>304</v>
      </c>
      <c r="AL42" s="322" t="str">
        <f>$D$6</f>
        <v>NOVEMBER</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6.5000000000000027</v>
      </c>
      <c r="I43" s="430">
        <f>(Z40-AD40)*24</f>
        <v>-156.00000000000006</v>
      </c>
      <c r="J43" s="431"/>
      <c r="L43" s="208" t="s">
        <v>163</v>
      </c>
      <c r="P43" s="213">
        <f>'AZ-Modell'!M9</f>
        <v>5</v>
      </c>
      <c r="U43" s="214"/>
      <c r="V43" s="214"/>
      <c r="W43" s="214"/>
      <c r="AE43" s="254"/>
      <c r="AG43" s="457" t="s">
        <v>32</v>
      </c>
      <c r="AH43" s="458"/>
      <c r="AI43" s="297"/>
      <c r="AJ43" s="297"/>
      <c r="AK43" s="298">
        <f>Oktober!AM43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67.600000000000023</v>
      </c>
      <c r="I44" s="430">
        <f>Oktober!I46</f>
        <v>-1622.4000000000005</v>
      </c>
      <c r="J44" s="431"/>
      <c r="L44" s="208" t="s">
        <v>164</v>
      </c>
      <c r="P44" s="220">
        <f>'AZ-Modell'!M11</f>
        <v>1.625</v>
      </c>
      <c r="U44" s="214"/>
      <c r="V44" s="214"/>
      <c r="W44" s="214"/>
      <c r="AE44" s="254"/>
      <c r="AG44" s="457" t="s">
        <v>41</v>
      </c>
      <c r="AH44" s="458"/>
      <c r="AI44" s="297"/>
      <c r="AJ44" s="297"/>
      <c r="AK44" s="298">
        <f>Oktober!AM44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Oktober!AM45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74.100000000000023</v>
      </c>
      <c r="I46" s="432">
        <f>SUM(I43:I45)</f>
        <v>-1778.4000000000005</v>
      </c>
      <c r="J46" s="433"/>
      <c r="L46" s="450" t="str">
        <f ca="1">IF(P46&lt;&gt;"","Hinweis:","")</f>
        <v>Hinweis:</v>
      </c>
      <c r="M46" s="450"/>
      <c r="N46" s="450"/>
      <c r="O46" s="450"/>
      <c r="P46" s="475"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f>Oktober!AM46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Oktober!AM47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Oktober!AM48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I49-Oktober!I53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6.5000000000000018</v>
      </c>
      <c r="H56" s="268">
        <f>(F56-G56)*24</f>
        <v>-156.00000000000006</v>
      </c>
      <c r="I56" s="423">
        <f>Oktober!I56+H56</f>
        <v>-1778.4000000000005</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Oktober!I57+H57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Oktober!I58+H58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I44:J44"/>
    <mergeCell ref="I46:J46"/>
    <mergeCell ref="I42:J42"/>
    <mergeCell ref="I43:J43"/>
    <mergeCell ref="AG43:AH43"/>
    <mergeCell ref="AG44:AH44"/>
    <mergeCell ref="L46:O46"/>
    <mergeCell ref="P46:AF47"/>
    <mergeCell ref="AA7:AD7"/>
    <mergeCell ref="AH4:AJ4"/>
    <mergeCell ref="AG48:AH48"/>
    <mergeCell ref="AG47:AH47"/>
    <mergeCell ref="A1:AN1"/>
    <mergeCell ref="W7:X7"/>
    <mergeCell ref="AK7:AN7"/>
    <mergeCell ref="B7:C7"/>
    <mergeCell ref="D7:H7"/>
    <mergeCell ref="I7:M7"/>
    <mergeCell ref="N7:R7"/>
    <mergeCell ref="S7:V7"/>
    <mergeCell ref="A42:G42"/>
    <mergeCell ref="A43:G43"/>
    <mergeCell ref="A44:G44"/>
    <mergeCell ref="A46:G46"/>
    <mergeCell ref="A48:H48"/>
    <mergeCell ref="A49:H49"/>
    <mergeCell ref="A50:H50"/>
    <mergeCell ref="A51:H51"/>
    <mergeCell ref="A53:H53"/>
    <mergeCell ref="I48:J48"/>
    <mergeCell ref="I49:J49"/>
    <mergeCell ref="I50:J50"/>
    <mergeCell ref="I51:J51"/>
    <mergeCell ref="I53:J53"/>
    <mergeCell ref="B55:E55"/>
    <mergeCell ref="B56:E56"/>
    <mergeCell ref="B57:E57"/>
    <mergeCell ref="B58:E58"/>
    <mergeCell ref="I55:J55"/>
    <mergeCell ref="I56:J56"/>
    <mergeCell ref="I57:J57"/>
    <mergeCell ref="I58:J58"/>
  </mergeCells>
  <conditionalFormatting sqref="A9:AN39">
    <cfRule type="expression" priority="1">
      <formula>AND(WEEKDAY($C9)&gt;1,WEEKDAY($C9)&lt;7)</formula>
    </cfRule>
  </conditionalFormatting>
  <conditionalFormatting sqref="H9:H39">
    <cfRule type="expression" dxfId="19"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18"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16"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11" priority="16">
      <formula>$AN9="T"</formula>
    </cfRule>
  </conditionalFormatting>
  <dataValidations count="5">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E00-000000000000}">
      <formula1>0</formula1>
      <formula2>0.333333333333333</formula2>
    </dataValidation>
    <dataValidation type="list" allowBlank="1" showInputMessage="1" sqref="D9:D39 N9:N39 I9:I39" xr:uid="{00000000-0002-0000-0E00-000001000000}">
      <formula1>"1,2,3"</formula1>
    </dataValidation>
    <dataValidation type="list" allowBlank="1" showInputMessage="1" showErrorMessage="1" sqref="W9:W39" xr:uid="{00000000-0002-0000-0E00-000002000000}">
      <formula1>$B$16:$B$21</formula1>
    </dataValidation>
    <dataValidation type="list" allowBlank="1" showInputMessage="1" sqref="AF39" xr:uid="{00000000-0002-0000-0E00-000003000000}">
      <formula1>$F$15:$F$32</formula1>
    </dataValidation>
    <dataValidation type="list" allowBlank="1" showInputMessage="1" sqref="AG39" xr:uid="{00000000-0002-0000-0E00-000004000000}">
      <formula1>$F$63:$F$92</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464B6BD0-BCA4-4D38-9E6D-9094D6EFB883}">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1" id="{0468AB32-4D7B-4F68-94CE-1CF6C4652FC1}">
            <xm:f>OR(COUNTIF(Grunddaten!$F$35:$F$58,$C10)&gt;0,WEEKDAY($C10)=1,WEEKDAY($C10)=7)</xm:f>
            <x14:dxf>
              <fill>
                <patternFill>
                  <bgColor theme="4" tint="0.79998168889431442"/>
                </patternFill>
              </fill>
              <border>
                <top style="thin">
                  <color theme="0"/>
                </top>
                <bottom style="thin">
                  <color theme="0"/>
                </bottom>
              </border>
            </x14:dxf>
          </x14:cfRule>
          <xm:sqref>D10:N39</xm:sqref>
        </x14:conditionalFormatting>
        <x14:conditionalFormatting xmlns:xm="http://schemas.microsoft.com/office/excel/2006/main">
          <x14:cfRule type="expression" priority="13" id="{31415B58-971D-498F-BCAE-C9AED291D76E}">
            <xm:f>OR(COUNTIF(Grunddaten!$F$35:$F$58,$C9)&gt;0,WEEKDAY($C9)=1,WEEKDAY($C9)=7)</xm:f>
            <x14:dxf>
              <fill>
                <patternFill>
                  <bgColor theme="4" tint="0.79998168889431442"/>
                </patternFill>
              </fill>
              <border>
                <top style="thin">
                  <color theme="0"/>
                </top>
                <bottom style="thin">
                  <color theme="0"/>
                </bottom>
              </border>
            </x14:dxf>
          </x14:cfRule>
          <xm:sqref>O9:AN9 AK10:AK38</xm:sqref>
        </x14:conditionalFormatting>
        <x14:conditionalFormatting xmlns:xm="http://schemas.microsoft.com/office/excel/2006/main">
          <x14:cfRule type="expression" priority="14" id="{64AEE9C7-2D42-4E7D-83F4-590CF3B945A8}">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9E6B4172-6637-4B4F-8411-73A86EC9BE6C}">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19" id="{E0F6AACB-5831-45D3-A1B0-D7EE63615143}">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5" id="{CF30E784-AEE0-4A71-A3C4-8BDF1A3B21C4}">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E00-000005000000}">
          <x14:formula1>
            <xm:f>Grunddaten!$B$16:$B$21</xm:f>
          </x14:formula1>
          <xm:sqref>S9:S39</xm:sqref>
        </x14:dataValidation>
        <x14:dataValidation type="list" allowBlank="1" showInputMessage="1" xr:uid="{00000000-0002-0000-0E00-000006000000}">
          <x14:formula1>
            <xm:f>Grunddaten!$F$15:$F$32</xm:f>
          </x14:formula1>
          <xm:sqref>AF9:AF11</xm:sqref>
        </x14:dataValidation>
        <x14:dataValidation type="list" allowBlank="1" showInputMessage="1" xr:uid="{00000000-0002-0000-0E00-000007000000}">
          <x14:formula1>
            <xm:f>Grunddaten!$F$63:$F$92</xm:f>
          </x14:formula1>
          <xm:sqref>AG9:AG11</xm:sqref>
        </x14:dataValidation>
        <x14:dataValidation type="list" allowBlank="1" showInputMessage="1" xr:uid="{00000000-0002-0000-0E00-000008000000}">
          <x14:formula1>
            <xm:f>Grunddaten!$F$14:$F$32</xm:f>
          </x14:formula1>
          <xm:sqref>AF12:AF38</xm:sqref>
        </x14:dataValidation>
        <x14:dataValidation type="list" allowBlank="1" showInputMessage="1" xr:uid="{00000000-0002-0000-0E00-000009000000}">
          <x14:formula1>
            <xm:f>Grunddaten!$F$62:$F$92</xm:f>
          </x14:formula1>
          <xm:sqref>AG12:AG38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4">
    <tabColor theme="7" tint="0.79998168889431442"/>
    <pageSetUpPr fitToPage="1"/>
  </sheetPr>
  <dimension ref="A1:AN68"/>
  <sheetViews>
    <sheetView showGridLines="0" zoomScale="75" zoomScaleNormal="75" workbookViewId="0">
      <pane ySplit="8" topLeftCell="A24"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184</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49</v>
      </c>
      <c r="B9" s="283" t="str">
        <f>IF(WEEKDAY($C9,1)=1,"So.",IF(WEEKDAY($C9,1)=2,"Mo.",IF(WEEKDAY($C9,1)=3,"Di.",IF(WEEKDAY($C9,1)=4,"Mi.",IF(WEEKDAY($C9,1)=5,"Do.",IF(WEEKDAY($C9,1)=6,"Fr.","Sa."))))))</f>
        <v>Mo.</v>
      </c>
      <c r="C9" s="284">
        <f>DATE(Grunddaten!G9,12,1)</f>
        <v>45992</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-1786.2000000000005</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49</v>
      </c>
      <c r="B10" s="283" t="str">
        <f t="shared" ref="B10:B39" si="4">IF(WEEKDAY($C10,1)=1,"So.",IF(WEEKDAY($C10,1)=2,"Mo.",IF(WEEKDAY($C10,1)=3,"Di.",IF(WEEKDAY($C10,1)=4,"Mi.",IF(WEEKDAY($C10,1)=5,"Do.",IF(WEEKDAY($C10,1)=6,"Fr.","Sa."))))))</f>
        <v>Di.</v>
      </c>
      <c r="C10" s="284">
        <f>C9+1</f>
        <v>45993</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-1794.0000000000005</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49</v>
      </c>
      <c r="B11" s="283" t="str">
        <f t="shared" si="4"/>
        <v>Mi.</v>
      </c>
      <c r="C11" s="284">
        <f t="shared" ref="C11:C39" si="10">C10+1</f>
        <v>45994</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-1801.8000000000004</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49</v>
      </c>
      <c r="B12" s="283" t="str">
        <f t="shared" si="4"/>
        <v>Do.</v>
      </c>
      <c r="C12" s="284">
        <f t="shared" si="10"/>
        <v>45995</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-1809.6000000000004</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49</v>
      </c>
      <c r="B13" s="283" t="str">
        <f t="shared" si="4"/>
        <v>Fr.</v>
      </c>
      <c r="C13" s="284">
        <f t="shared" si="10"/>
        <v>45996</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-1817.4000000000003</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49</v>
      </c>
      <c r="B14" s="283" t="str">
        <f t="shared" si="4"/>
        <v>Sa.</v>
      </c>
      <c r="C14" s="284">
        <f t="shared" si="10"/>
        <v>45997</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v>
      </c>
      <c r="AE14" s="290">
        <f t="shared" si="11"/>
        <v>-1817.4000000000003</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50</v>
      </c>
      <c r="B15" s="283" t="str">
        <f t="shared" si="4"/>
        <v>So.</v>
      </c>
      <c r="C15" s="284">
        <f t="shared" si="10"/>
        <v>45998</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v>
      </c>
      <c r="AE15" s="290">
        <f t="shared" si="11"/>
        <v>-1817.4000000000003</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50</v>
      </c>
      <c r="B16" s="283" t="str">
        <f t="shared" si="4"/>
        <v>Mo.</v>
      </c>
      <c r="C16" s="284">
        <f t="shared" si="10"/>
        <v>45999</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-1825.2000000000003</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50</v>
      </c>
      <c r="B17" s="283" t="str">
        <f t="shared" si="4"/>
        <v>Di.</v>
      </c>
      <c r="C17" s="284">
        <f t="shared" si="10"/>
        <v>46000</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-1833.0000000000002</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50</v>
      </c>
      <c r="B18" s="283" t="str">
        <f t="shared" si="4"/>
        <v>Mi.</v>
      </c>
      <c r="C18" s="284">
        <f t="shared" si="10"/>
        <v>46001</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-1840.8000000000002</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50</v>
      </c>
      <c r="B19" s="283" t="str">
        <f t="shared" si="4"/>
        <v>Do.</v>
      </c>
      <c r="C19" s="284">
        <f t="shared" si="10"/>
        <v>46002</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-1848.6000000000001</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50</v>
      </c>
      <c r="B20" s="283" t="str">
        <f t="shared" si="4"/>
        <v>Fr.</v>
      </c>
      <c r="C20" s="284">
        <f t="shared" si="10"/>
        <v>46003</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-1856.4</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50</v>
      </c>
      <c r="B21" s="283" t="str">
        <f t="shared" si="4"/>
        <v>Sa.</v>
      </c>
      <c r="C21" s="284">
        <f t="shared" si="10"/>
        <v>46004</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v>
      </c>
      <c r="AE21" s="290">
        <f t="shared" si="11"/>
        <v>-1856.4</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51</v>
      </c>
      <c r="B22" s="283" t="str">
        <f t="shared" si="4"/>
        <v>So.</v>
      </c>
      <c r="C22" s="284">
        <f t="shared" si="10"/>
        <v>46005</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v>
      </c>
      <c r="AE22" s="290">
        <f t="shared" si="11"/>
        <v>-1856.4</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51</v>
      </c>
      <c r="B23" s="283" t="str">
        <f t="shared" si="4"/>
        <v>Mo.</v>
      </c>
      <c r="C23" s="284">
        <f t="shared" si="10"/>
        <v>46006</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-1864.2</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51</v>
      </c>
      <c r="B24" s="283" t="str">
        <f t="shared" si="4"/>
        <v>Di.</v>
      </c>
      <c r="C24" s="284">
        <f t="shared" si="10"/>
        <v>46007</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-1872</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51</v>
      </c>
      <c r="B25" s="283" t="str">
        <f t="shared" si="4"/>
        <v>Mi.</v>
      </c>
      <c r="C25" s="284">
        <f t="shared" si="10"/>
        <v>46008</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-1879.8</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51</v>
      </c>
      <c r="B26" s="283" t="str">
        <f t="shared" si="4"/>
        <v>Do.</v>
      </c>
      <c r="C26" s="284">
        <f t="shared" si="10"/>
        <v>46009</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-1887.6</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51</v>
      </c>
      <c r="B27" s="283" t="str">
        <f t="shared" si="4"/>
        <v>Fr.</v>
      </c>
      <c r="C27" s="284">
        <f t="shared" si="10"/>
        <v>46010</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-1895.3999999999999</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51</v>
      </c>
      <c r="B28" s="283" t="str">
        <f t="shared" si="4"/>
        <v>Sa.</v>
      </c>
      <c r="C28" s="284">
        <f t="shared" si="10"/>
        <v>46011</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v>
      </c>
      <c r="AE28" s="290">
        <f t="shared" si="11"/>
        <v>-1895.3999999999999</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52</v>
      </c>
      <c r="B29" s="283" t="str">
        <f t="shared" si="4"/>
        <v>So.</v>
      </c>
      <c r="C29" s="284">
        <f t="shared" si="10"/>
        <v>46012</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v>
      </c>
      <c r="AE29" s="290">
        <f t="shared" si="11"/>
        <v>-1895.3999999999999</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52</v>
      </c>
      <c r="B30" s="283" t="str">
        <f t="shared" si="4"/>
        <v>Mo.</v>
      </c>
      <c r="C30" s="284">
        <f t="shared" si="10"/>
        <v>46013</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-1903.1999999999998</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52</v>
      </c>
      <c r="B31" s="283" t="str">
        <f t="shared" si="4"/>
        <v>Di.</v>
      </c>
      <c r="C31" s="284">
        <f t="shared" si="10"/>
        <v>46014</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-1910.9999999999998</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52</v>
      </c>
      <c r="B32" s="283" t="str">
        <f t="shared" si="4"/>
        <v>Mi.</v>
      </c>
      <c r="C32" s="284">
        <f t="shared" si="10"/>
        <v>46015</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v>
      </c>
      <c r="AE32" s="290">
        <f t="shared" si="11"/>
        <v>-1910.9999999999998</v>
      </c>
      <c r="AF32" s="292" t="str">
        <f>IFERROR(VLOOKUP($C32,Grunddaten!$F$36:$G$59,2,0),"")</f>
        <v>Heilig Abend</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52</v>
      </c>
      <c r="B33" s="283" t="str">
        <f t="shared" si="4"/>
        <v>Do.</v>
      </c>
      <c r="C33" s="284">
        <f t="shared" si="10"/>
        <v>46016</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v>
      </c>
      <c r="AE33" s="290">
        <f t="shared" si="11"/>
        <v>-1910.9999999999998</v>
      </c>
      <c r="AF33" s="292" t="str">
        <f>IFERROR(VLOOKUP($C33,Grunddaten!$F$36:$G$59,2,0),"")</f>
        <v>1. Weihnachtsfeiertag</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52</v>
      </c>
      <c r="B34" s="283" t="str">
        <f t="shared" si="4"/>
        <v>Fr.</v>
      </c>
      <c r="C34" s="284">
        <f t="shared" si="10"/>
        <v>46017</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v>
      </c>
      <c r="AE34" s="290">
        <f t="shared" si="11"/>
        <v>-1910.9999999999998</v>
      </c>
      <c r="AF34" s="292" t="str">
        <f>IFERROR(VLOOKUP($C34,Grunddaten!$F$36:$G$59,2,0),"")</f>
        <v>2. Weihnachtsfeiertag</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52</v>
      </c>
      <c r="B35" s="283" t="str">
        <f t="shared" si="4"/>
        <v>Sa.</v>
      </c>
      <c r="C35" s="284">
        <f t="shared" si="10"/>
        <v>46018</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v>
      </c>
      <c r="AE35" s="290">
        <f t="shared" si="11"/>
        <v>-1910.9999999999998</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53</v>
      </c>
      <c r="B36" s="283" t="str">
        <f t="shared" si="4"/>
        <v>So.</v>
      </c>
      <c r="C36" s="284">
        <f t="shared" si="10"/>
        <v>46019</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v>
      </c>
      <c r="AE36" s="290">
        <f t="shared" si="11"/>
        <v>-1910.9999999999998</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53</v>
      </c>
      <c r="B37" s="283" t="str">
        <f t="shared" si="4"/>
        <v>Mo.</v>
      </c>
      <c r="C37" s="284">
        <f t="shared" si="10"/>
        <v>46020</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-1918.7999999999997</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53</v>
      </c>
      <c r="B38" s="283" t="str">
        <f t="shared" si="4"/>
        <v>Di.</v>
      </c>
      <c r="C38" s="284">
        <f t="shared" si="10"/>
        <v>46021</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-1926.5999999999997</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53</v>
      </c>
      <c r="B39" s="283" t="str">
        <f t="shared" si="4"/>
        <v>Mi.</v>
      </c>
      <c r="C39" s="284">
        <f t="shared" si="10"/>
        <v>46022</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-1926.5999999999997</v>
      </c>
      <c r="AF39" s="292" t="str">
        <f>IFERROR(VLOOKUP($C39,Grunddaten!$F$36:$G$59,2,0),"")</f>
        <v>Silvester</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6.1750000000000016</v>
      </c>
      <c r="AB40" s="336">
        <f t="shared" si="14"/>
        <v>0</v>
      </c>
      <c r="AC40" s="336">
        <f t="shared" si="14"/>
        <v>0</v>
      </c>
      <c r="AD40" s="336">
        <f>SUM(AD9:AD39)</f>
        <v>6.1750000000000016</v>
      </c>
      <c r="AE40" s="338">
        <f>(Z40-AD40)*24+I44</f>
        <v>-1926.6000000000006</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43" t="s">
        <v>167</v>
      </c>
      <c r="AH42" s="344"/>
      <c r="AI42" s="344"/>
      <c r="AJ42" s="344"/>
      <c r="AK42" s="321" t="s">
        <v>304</v>
      </c>
      <c r="AL42" s="322" t="str">
        <f>$D$6</f>
        <v>DEZEMBER</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6.1750000000000016</v>
      </c>
      <c r="I43" s="430">
        <f>(Z40-AD40)*24</f>
        <v>-148.20000000000005</v>
      </c>
      <c r="J43" s="431"/>
      <c r="L43" s="208" t="s">
        <v>163</v>
      </c>
      <c r="P43" s="213">
        <f>'AZ-Modell'!N9</f>
        <v>5</v>
      </c>
      <c r="U43" s="214"/>
      <c r="V43" s="214"/>
      <c r="W43" s="214"/>
      <c r="AE43" s="254"/>
      <c r="AG43" s="457" t="s">
        <v>32</v>
      </c>
      <c r="AH43" s="458"/>
      <c r="AI43" s="297"/>
      <c r="AJ43" s="297"/>
      <c r="AK43" s="298">
        <f>November!AM43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74.100000000000023</v>
      </c>
      <c r="I44" s="430">
        <f>November!I46</f>
        <v>-1778.4000000000005</v>
      </c>
      <c r="J44" s="431"/>
      <c r="L44" s="208" t="s">
        <v>164</v>
      </c>
      <c r="P44" s="220">
        <f>'AZ-Modell'!N11</f>
        <v>1.625</v>
      </c>
      <c r="U44" s="214"/>
      <c r="V44" s="214"/>
      <c r="W44" s="214"/>
      <c r="AE44" s="254"/>
      <c r="AG44" s="457" t="s">
        <v>41</v>
      </c>
      <c r="AH44" s="458"/>
      <c r="AI44" s="297"/>
      <c r="AJ44" s="297"/>
      <c r="AK44" s="298">
        <f>November!AM44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November!AM45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80.27500000000002</v>
      </c>
      <c r="I46" s="432">
        <f>SUM(I43:I45)</f>
        <v>-1926.6000000000006</v>
      </c>
      <c r="J46" s="433"/>
      <c r="L46" s="450" t="str">
        <f ca="1">IF(P46&lt;&gt;"","Hinweis:","")</f>
        <v>Hinweis:</v>
      </c>
      <c r="M46" s="450"/>
      <c r="N46" s="450"/>
      <c r="O46" s="450"/>
      <c r="P46" s="475" t="str">
        <f ca="1">IF(TODAY()&gt;=C40,IF((I46/24)&gt;P44,"Ihr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f>November!AM46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November!AM47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80"/>
      <c r="AF48" s="208"/>
      <c r="AG48" s="473" t="s">
        <v>39</v>
      </c>
      <c r="AH48" s="474"/>
      <c r="AI48" s="316"/>
      <c r="AJ48" s="316"/>
      <c r="AK48" s="317">
        <f>November!AM48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I49-November!I53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6.1750000000000016</v>
      </c>
      <c r="H56" s="268">
        <f>(F56-G56)*24</f>
        <v>-148.20000000000005</v>
      </c>
      <c r="I56" s="423">
        <f>November!I56+H56</f>
        <v>-1926.6000000000006</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November!I57+H57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November!I58+H58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7:AH47"/>
    <mergeCell ref="AG48:AH48"/>
    <mergeCell ref="AG43:AH43"/>
    <mergeCell ref="AG44:AH44"/>
    <mergeCell ref="L46:O46"/>
    <mergeCell ref="P46:AF47"/>
    <mergeCell ref="A1:AN1"/>
    <mergeCell ref="D7:H7"/>
    <mergeCell ref="I7:M7"/>
    <mergeCell ref="N7:R7"/>
    <mergeCell ref="W7:X7"/>
    <mergeCell ref="AA7:AD7"/>
    <mergeCell ref="AK7:AN7"/>
    <mergeCell ref="B7:C7"/>
    <mergeCell ref="AH4:AJ4"/>
    <mergeCell ref="S7:V7"/>
    <mergeCell ref="A49:H49"/>
    <mergeCell ref="A50:H50"/>
    <mergeCell ref="A51:H51"/>
    <mergeCell ref="A53:H53"/>
    <mergeCell ref="I49:J49"/>
    <mergeCell ref="I50:J50"/>
    <mergeCell ref="I51:J51"/>
    <mergeCell ref="I53:J53"/>
    <mergeCell ref="A42:G42"/>
    <mergeCell ref="A43:G43"/>
    <mergeCell ref="A44:G44"/>
    <mergeCell ref="A46:G46"/>
    <mergeCell ref="A48:H48"/>
    <mergeCell ref="I48:J48"/>
    <mergeCell ref="I42:J42"/>
    <mergeCell ref="I43:J43"/>
    <mergeCell ref="I44:J44"/>
    <mergeCell ref="I46:J46"/>
    <mergeCell ref="B56:E56"/>
    <mergeCell ref="B57:E57"/>
    <mergeCell ref="B58:E58"/>
    <mergeCell ref="I55:J55"/>
    <mergeCell ref="I56:J56"/>
    <mergeCell ref="I57:J57"/>
    <mergeCell ref="I58:J58"/>
    <mergeCell ref="B55:E55"/>
  </mergeCells>
  <conditionalFormatting sqref="A9:AN39">
    <cfRule type="expression" priority="1">
      <formula>AND(WEEKDAY($C9)&gt;1,WEEKDAY($C9)&lt;7)</formula>
    </cfRule>
  </conditionalFormatting>
  <conditionalFormatting sqref="H9:H39">
    <cfRule type="expression" dxfId="8"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7"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5"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0" priority="16">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F00-000000000000}">
      <formula1>0</formula1>
      <formula2>0.333333333333333</formula2>
    </dataValidation>
    <dataValidation type="list" allowBlank="1" showInputMessage="1" sqref="D9:D39 N9:N39 I9:I39" xr:uid="{00000000-0002-0000-0F00-000001000000}">
      <formula1>"1,2,3"</formula1>
    </dataValidation>
    <dataValidation type="list" allowBlank="1" showInputMessage="1" showErrorMessage="1" sqref="W9:W39" xr:uid="{00000000-0002-0000-0F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5EB0C8F3-4D43-46A7-9416-5446D52FF91A}">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1" id="{7BB78899-ABCA-4BBF-87CF-A0AFCCB069E9}">
            <xm:f>OR(COUNTIF(Grunddaten!$F$35:$F$58,$C10)&gt;0,WEEKDAY($C10)=1,WEEKDAY($C10)=7)</xm:f>
            <x14:dxf>
              <fill>
                <patternFill>
                  <bgColor theme="4" tint="0.79998168889431442"/>
                </patternFill>
              </fill>
              <border>
                <top style="thin">
                  <color theme="0"/>
                </top>
                <bottom style="thin">
                  <color theme="0"/>
                </bottom>
              </border>
            </x14:dxf>
          </x14:cfRule>
          <xm:sqref>D10:N39</xm:sqref>
        </x14:conditionalFormatting>
        <x14:conditionalFormatting xmlns:xm="http://schemas.microsoft.com/office/excel/2006/main">
          <x14:cfRule type="expression" priority="13" id="{AE60EA96-3091-4783-81D9-3C0EE93B924E}">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4" id="{CC51A79E-570C-40A1-BE10-AFCF6075B8DE}">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0C707F91-E535-42D8-9EC0-67D72BBAC19B}">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19" id="{18CD06D6-9D19-48CD-9872-FFFB37D91FD1}">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5" id="{443EBE0D-6A72-4B25-B395-53D3AF1493A5}">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3000000}">
          <x14:formula1>
            <xm:f>Grunddaten!$B$16:$B$21</xm:f>
          </x14:formula1>
          <xm:sqref>S9:S39</xm:sqref>
        </x14:dataValidation>
        <x14:dataValidation type="list" allowBlank="1" showInputMessage="1" xr:uid="{00000000-0002-0000-0F00-000004000000}">
          <x14:formula1>
            <xm:f>Grunddaten!$F$14:$F$32</xm:f>
          </x14:formula1>
          <xm:sqref>AF9:AF39</xm:sqref>
        </x14:dataValidation>
        <x14:dataValidation type="list" allowBlank="1" showInputMessage="1" xr:uid="{00000000-0002-0000-0F00-000005000000}">
          <x14:formula1>
            <xm:f>Grunddaten!$F$62:$F$92</xm:f>
          </x14:formula1>
          <xm:sqref>AG9:AG39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6">
    <tabColor theme="4"/>
  </sheetPr>
  <dimension ref="A1:AM24"/>
  <sheetViews>
    <sheetView showGridLines="0" topLeftCell="F1" workbookViewId="0">
      <selection activeCell="AB18" sqref="AB18"/>
    </sheetView>
  </sheetViews>
  <sheetFormatPr baseColWidth="10" defaultColWidth="11.453125" defaultRowHeight="14.5" x14ac:dyDescent="0.35"/>
  <cols>
    <col min="1" max="1" width="12.26953125" style="3" customWidth="1"/>
    <col min="2" max="2" width="11.81640625" style="3" customWidth="1"/>
    <col min="3" max="3" width="39.54296875" style="3" bestFit="1" customWidth="1"/>
    <col min="4" max="4" width="8.26953125" style="31" customWidth="1"/>
    <col min="5" max="6" width="8.26953125" style="32" customWidth="1"/>
    <col min="7" max="11" width="3.7265625" style="33" customWidth="1"/>
    <col min="12" max="13" width="3.7265625" style="3" customWidth="1"/>
    <col min="14" max="14" width="9.81640625" style="33" bestFit="1" customWidth="1"/>
    <col min="15" max="15" width="9.1796875" style="33" bestFit="1" customWidth="1"/>
    <col min="16" max="16" width="9.1796875" style="3" customWidth="1"/>
    <col min="17" max="17" width="7.1796875" style="33" customWidth="1"/>
    <col min="18" max="18" width="9.1796875" style="3" customWidth="1"/>
    <col min="19" max="19" width="7.1796875" style="33" customWidth="1"/>
    <col min="20" max="20" width="9.1796875" style="3" customWidth="1"/>
    <col min="21" max="21" width="7.1796875" style="33" customWidth="1"/>
    <col min="22" max="22" width="9.1796875" style="3" customWidth="1"/>
    <col min="23" max="23" width="7.1796875" style="33" customWidth="1"/>
    <col min="24" max="24" width="9.1796875" style="3" customWidth="1"/>
    <col min="25" max="25" width="7.1796875" style="33" customWidth="1"/>
    <col min="26" max="32" width="9.1796875" style="33" customWidth="1"/>
    <col min="33" max="38" width="9.1796875" style="3" customWidth="1"/>
    <col min="39" max="16384" width="11.453125" style="3"/>
  </cols>
  <sheetData>
    <row r="1" spans="1:39" ht="15" thickBot="1" x14ac:dyDescent="0.4"/>
    <row r="2" spans="1:39" s="34" customFormat="1" ht="33.75" customHeight="1" thickBot="1" x14ac:dyDescent="0.4">
      <c r="D2" s="493" t="s">
        <v>110</v>
      </c>
      <c r="E2" s="494"/>
      <c r="F2" s="494"/>
      <c r="G2" s="494"/>
      <c r="H2" s="494"/>
      <c r="I2" s="494"/>
      <c r="J2" s="494"/>
      <c r="K2" s="494"/>
      <c r="L2" s="494"/>
      <c r="M2" s="494"/>
      <c r="N2" s="494"/>
      <c r="O2" s="495"/>
      <c r="P2" s="499" t="s">
        <v>34</v>
      </c>
      <c r="Q2" s="500"/>
      <c r="R2" s="499" t="s">
        <v>111</v>
      </c>
      <c r="S2" s="500"/>
      <c r="T2" s="499" t="s">
        <v>112</v>
      </c>
      <c r="U2" s="500"/>
      <c r="V2" s="499" t="s">
        <v>278</v>
      </c>
      <c r="W2" s="500"/>
      <c r="X2" s="499" t="s">
        <v>39</v>
      </c>
      <c r="Y2" s="500"/>
      <c r="Z2" s="35"/>
      <c r="AA2" s="36"/>
      <c r="AB2" s="493" t="s">
        <v>113</v>
      </c>
      <c r="AC2" s="494"/>
      <c r="AD2" s="495"/>
      <c r="AE2" s="493" t="s">
        <v>114</v>
      </c>
      <c r="AF2" s="494"/>
      <c r="AG2" s="494"/>
      <c r="AH2" s="494"/>
      <c r="AI2" s="494"/>
      <c r="AJ2" s="494"/>
      <c r="AK2" s="494"/>
      <c r="AL2" s="495"/>
    </row>
    <row r="3" spans="1:39" s="34" customFormat="1" ht="187.5" thickBot="1" x14ac:dyDescent="0.4">
      <c r="A3" s="34" t="s">
        <v>115</v>
      </c>
      <c r="B3" s="34" t="s">
        <v>116</v>
      </c>
      <c r="D3" s="37" t="s">
        <v>117</v>
      </c>
      <c r="E3" s="38" t="s">
        <v>118</v>
      </c>
      <c r="F3" s="38" t="s">
        <v>93</v>
      </c>
      <c r="G3" s="496" t="s">
        <v>119</v>
      </c>
      <c r="H3" s="497"/>
      <c r="I3" s="497"/>
      <c r="J3" s="497"/>
      <c r="K3" s="497"/>
      <c r="L3" s="497"/>
      <c r="M3" s="498"/>
      <c r="N3" s="39" t="s">
        <v>120</v>
      </c>
      <c r="O3" s="40" t="s">
        <v>121</v>
      </c>
      <c r="P3" s="41" t="s">
        <v>122</v>
      </c>
      <c r="Q3" s="42" t="s">
        <v>123</v>
      </c>
      <c r="R3" s="41" t="s">
        <v>122</v>
      </c>
      <c r="S3" s="42" t="s">
        <v>123</v>
      </c>
      <c r="T3" s="41" t="s">
        <v>122</v>
      </c>
      <c r="U3" s="42" t="s">
        <v>123</v>
      </c>
      <c r="V3" s="41" t="s">
        <v>122</v>
      </c>
      <c r="W3" s="42" t="s">
        <v>123</v>
      </c>
      <c r="X3" s="41" t="s">
        <v>122</v>
      </c>
      <c r="Y3" s="42" t="s">
        <v>123</v>
      </c>
      <c r="Z3" s="41" t="s">
        <v>124</v>
      </c>
      <c r="AA3" s="43" t="s">
        <v>125</v>
      </c>
      <c r="AB3" s="44" t="s">
        <v>126</v>
      </c>
      <c r="AC3" s="45" t="s">
        <v>127</v>
      </c>
      <c r="AD3" s="46" t="s">
        <v>128</v>
      </c>
      <c r="AE3" s="41" t="s">
        <v>129</v>
      </c>
      <c r="AF3" s="47" t="s">
        <v>130</v>
      </c>
      <c r="AG3" s="43" t="s">
        <v>131</v>
      </c>
      <c r="AH3" s="114" t="s">
        <v>132</v>
      </c>
      <c r="AI3" s="48" t="s">
        <v>133</v>
      </c>
      <c r="AJ3" s="49" t="s">
        <v>134</v>
      </c>
      <c r="AK3" s="50" t="s">
        <v>135</v>
      </c>
      <c r="AL3" s="49" t="s">
        <v>136</v>
      </c>
      <c r="AM3" s="51"/>
    </row>
    <row r="4" spans="1:39" s="67" customFormat="1" ht="16.5" customHeight="1" x14ac:dyDescent="0.35">
      <c r="A4" s="52" t="s">
        <v>78</v>
      </c>
      <c r="B4" s="53">
        <f>Grunddaten!$C$12</f>
        <v>12345</v>
      </c>
      <c r="C4" s="54" t="str">
        <f>Grunddaten!$C$9&amp;" "&amp;Grunddaten!$C$10&amp;" ("&amp;Grunddaten!$C$14&amp;")"</f>
        <v xml:space="preserve"> Musterperson (94032 Musterstadt)</v>
      </c>
      <c r="D4" s="55">
        <f>'AZ-Modell'!C11*24</f>
        <v>39</v>
      </c>
      <c r="E4" s="56">
        <f>'AZ-Modell'!$C$9</f>
        <v>5</v>
      </c>
      <c r="F4" s="56">
        <f>'AZ-Modell'!C$10*24</f>
        <v>7.8000000000000007</v>
      </c>
      <c r="G4" s="57" t="str">
        <f>IF(('AZ-Modell'!C$16+'AZ-Modell'!C$26+'AZ-Modell'!C$36)&lt;&gt;0,"Mo","")</f>
        <v>Mo</v>
      </c>
      <c r="H4" s="57" t="str">
        <f>IF(('AZ-Modell'!C$17+'AZ-Modell'!C$27+'AZ-Modell'!C$37)&lt;&gt;0,"Di","")</f>
        <v>Di</v>
      </c>
      <c r="I4" s="57" t="str">
        <f>IF(('AZ-Modell'!C$18+'AZ-Modell'!C$28+'AZ-Modell'!C$38)&lt;&gt;0,"Mi","")</f>
        <v>Mi</v>
      </c>
      <c r="J4" s="57" t="str">
        <f>IF(('AZ-Modell'!C$19+'AZ-Modell'!C$29+'AZ-Modell'!C$39)&lt;&gt;0,"Do","")</f>
        <v>Do</v>
      </c>
      <c r="K4" s="57" t="str">
        <f>IF(('AZ-Modell'!C$20+'AZ-Modell'!C$30+'AZ-Modell'!C$40)&lt;&gt;0,"Fr","")</f>
        <v>Fr</v>
      </c>
      <c r="L4" s="57" t="str">
        <f>IF(('AZ-Modell'!C$21+'AZ-Modell'!C$31+'AZ-Modell'!C$41)&lt;&gt;0,"Sa","")</f>
        <v/>
      </c>
      <c r="M4" s="57" t="str">
        <f>IF(('AZ-Modell'!C$22+'AZ-Modell'!C$32+'AZ-Modell'!C$42)&lt;&gt;0,"So","")</f>
        <v/>
      </c>
      <c r="N4" s="58">
        <f>COUNTIF(Januar!AD$9:AD$39,"&gt;0")</f>
        <v>21</v>
      </c>
      <c r="O4" s="59">
        <f>(Januar!$AD$40)*24</f>
        <v>163.80000000000004</v>
      </c>
      <c r="P4" s="60">
        <f>(SUMIF(Januar!$AF:$AF,"Urlaub",Januar!$AD:$AD))*24</f>
        <v>0</v>
      </c>
      <c r="Q4" s="61">
        <f>COUNTIF(Januar!$AF:$AF,"Urlaub")</f>
        <v>0</v>
      </c>
      <c r="R4" s="60">
        <f>(SUMIF(Januar!$AF:$AF,"Krank",Januar!$AD:$AD))*24</f>
        <v>0</v>
      </c>
      <c r="S4" s="61">
        <f>COUNTIF(Januar!$AF:$AF,"Krank")</f>
        <v>0</v>
      </c>
      <c r="T4" s="60">
        <f>(SUMIF(Januar!$AF:$AF,"Arbeitsbefreiung",Januar!$AD:$AD))*24</f>
        <v>0</v>
      </c>
      <c r="U4" s="61">
        <f>COUNTIF(Januar!$AF:$AF,"Arbeitsbefreiung")</f>
        <v>0</v>
      </c>
      <c r="V4" s="60">
        <f>(SUMIF(Januar!$AF:$AF,"Exerzitien",Januar!$AD:$AD))*24</f>
        <v>0</v>
      </c>
      <c r="W4" s="61">
        <f>COUNTIF(Januar!$AF:$AF,"Exerzitien")</f>
        <v>0</v>
      </c>
      <c r="X4" s="60">
        <f>(SUMIF(Januar!$AF:$AF,"Wallfahrt",Januar!$AD:$AD))*24</f>
        <v>0</v>
      </c>
      <c r="Y4" s="61">
        <f>COUNTIF(Januar!$AF:$AF,"Wallfahrt")</f>
        <v>0</v>
      </c>
      <c r="Z4" s="60">
        <f>$O4-$P4-$R4-$T4-$V4-$X4</f>
        <v>163.80000000000004</v>
      </c>
      <c r="AA4" s="59">
        <f>Januar!$Z$40*24-$P4-$R4-$T4-$V4-$X4</f>
        <v>0</v>
      </c>
      <c r="AB4" s="60">
        <f t="shared" ref="AB4:AB15" si="0">$AA4-$Z4</f>
        <v>-163.80000000000004</v>
      </c>
      <c r="AC4" s="62">
        <f>Januar!$I$44</f>
        <v>0</v>
      </c>
      <c r="AD4" s="59">
        <f t="shared" ref="AD4:AD15" si="1">$AC4+$AB4</f>
        <v>-163.80000000000004</v>
      </c>
      <c r="AE4" s="60">
        <f>ROUND((Januar!$AH$40)*24,10)</f>
        <v>0</v>
      </c>
      <c r="AF4" s="63">
        <v>0</v>
      </c>
      <c r="AG4" s="59">
        <f ca="1">ROUND((Januar!$AI$40)*24,10)-AH4</f>
        <v>0</v>
      </c>
      <c r="AH4" s="115">
        <f ca="1">ROUND(SUM(INDIRECT($A4&amp;"!E$57:$E$58"))*24,10)-(SUMIF(INDIRECT($A4&amp;"!$AE$9:$AE$39"),"Krank",INDIRECT($A4&amp;"!$AA$9:$AA$39"))+SUMIF(INDIRECT($A4&amp;"!$AE$9:$AE$39"),"Urlaub",INDIRECT($A4&amp;"!$AA$9:$AA$39"))+SUMIF(INDIRECT($A4&amp;"!$AE$9:$AE$39"),"Exerzitien",INDIRECT($A4&amp;"!$AA$9:$AA$39"))+SUMIF(INDIRECT($A4&amp;"!$AE$9:$AE$39"),"Wallfahrt",INDIRECT($A4&amp;"!$AA$9:$AA$39"))+SUMIF(INDIRECT($A4&amp;"!$AE$9:$AE$39"),"Arbeitsbefreiung",INDIRECT($A4&amp;"!$AA$9:$AA$39")))*24
-(SUMIF(INDIRECT($A4&amp;"!$AE$9:$AE$39"),"Krank",INDIRECT($A4&amp;"!$AB$9:$AB$39"))+SUMIF(INDIRECT($A4&amp;"!$AE$9:$AE$39"),"Urlaub",INDIRECT($A4&amp;"!$AB$9:$AB$39"))+SUMIF(INDIRECT($A4&amp;"!$AE$9:$AE$39"),"Exerzitien",INDIRECT($A4&amp;"!$AB$9:$AB$39"))+SUMIF(INDIRECT($A4&amp;"!$AE$9:$AE$39"),"Wallfahrt",INDIRECT($A4&amp;"!$AB$9:$AB$39"))+SUMIF(INDIRECT($A4&amp;"!$AE$9:$AE$39"),"Arbeitsbefreiung",INDIRECT($A4&amp;"!$AB$9:$AB$39")))*24</f>
        <v>0</v>
      </c>
      <c r="AI4" s="64">
        <f t="shared" ref="AI4:AI14" ca="1" si="2">IF($AE4+$AG4+$AH4=$AA4,0,1)</f>
        <v>0</v>
      </c>
      <c r="AJ4" s="59">
        <f>Januar!$I$53</f>
        <v>30</v>
      </c>
      <c r="AK4" s="65">
        <f ca="1">IFERROR($AE4/($AE4+$AG4),0)</f>
        <v>0</v>
      </c>
      <c r="AL4" s="66">
        <f ca="1">IFERROR($AG4/($AE4+$AG4),0)</f>
        <v>0</v>
      </c>
    </row>
    <row r="5" spans="1:39" s="67" customFormat="1" ht="16.5" customHeight="1" x14ac:dyDescent="0.35">
      <c r="A5" s="60" t="s">
        <v>79</v>
      </c>
      <c r="B5" s="68">
        <f>Grunddaten!$C$12</f>
        <v>12345</v>
      </c>
      <c r="C5" s="59" t="str">
        <f>Grunddaten!$C$9&amp;" "&amp;Grunddaten!$C$10&amp;" ("&amp;Grunddaten!$C$14&amp;")"</f>
        <v xml:space="preserve"> Musterperson (94032 Musterstadt)</v>
      </c>
      <c r="D5" s="55">
        <f>'AZ-Modell'!D11*24</f>
        <v>39</v>
      </c>
      <c r="E5" s="56">
        <f>'AZ-Modell'!$D$9</f>
        <v>5</v>
      </c>
      <c r="F5" s="56">
        <f>'AZ-Modell'!D$10*24</f>
        <v>7.8000000000000007</v>
      </c>
      <c r="G5" s="57" t="str">
        <f>IF(('AZ-Modell'!C$16+'AZ-Modell'!C$26+'AZ-Modell'!C$36)&lt;&gt;0,"Mo","")</f>
        <v>Mo</v>
      </c>
      <c r="H5" s="57" t="str">
        <f>IF(('AZ-Modell'!C$17+'AZ-Modell'!C$27+'AZ-Modell'!C$37)&lt;&gt;0,"Di","")</f>
        <v>Di</v>
      </c>
      <c r="I5" s="57" t="str">
        <f>IF(('AZ-Modell'!C$18+'AZ-Modell'!C$28+'AZ-Modell'!C$38)&lt;&gt;0,"Mi","")</f>
        <v>Mi</v>
      </c>
      <c r="J5" s="57" t="str">
        <f>IF(('AZ-Modell'!C$19+'AZ-Modell'!C$29+'AZ-Modell'!C$39)&lt;&gt;0,"Do","")</f>
        <v>Do</v>
      </c>
      <c r="K5" s="57" t="str">
        <f>IF(('AZ-Modell'!C$20+'AZ-Modell'!C$30+'AZ-Modell'!C$40)&lt;&gt;0,"Fr","")</f>
        <v>Fr</v>
      </c>
      <c r="L5" s="57" t="str">
        <f>IF(('AZ-Modell'!C$21+'AZ-Modell'!C$31+'AZ-Modell'!C$41)&lt;&gt;0,"Sa","")</f>
        <v/>
      </c>
      <c r="M5" s="57" t="str">
        <f>IF(('AZ-Modell'!C$22+'AZ-Modell'!C$32+'AZ-Modell'!C$42)&lt;&gt;0,"So","")</f>
        <v/>
      </c>
      <c r="N5" s="58">
        <f>COUNTIF(Februar!AD$9:AD$39,"&gt;0")</f>
        <v>20</v>
      </c>
      <c r="O5" s="59">
        <f>(Februar!$AD$40)*24</f>
        <v>156.00000000000006</v>
      </c>
      <c r="P5" s="60">
        <f>(SUMIF(Februar!$AF:$AF,"Urlaub",Februar!$AD:$AD))*24</f>
        <v>0</v>
      </c>
      <c r="Q5" s="61">
        <f>COUNTIF(Februar!$AF:$AF,"Urlaub")</f>
        <v>0</v>
      </c>
      <c r="R5" s="60">
        <f>(SUMIF(Februar!$AF:$AF,"Krank",Februar!$AD:$AD))*24</f>
        <v>0</v>
      </c>
      <c r="S5" s="61">
        <f>COUNTIF(Februar!$AF:$AF,"Krank")</f>
        <v>0</v>
      </c>
      <c r="T5" s="60">
        <f>(SUMIF(Februar!$AF:$AF,"Arbeitsbefreiung",Februar!$AD:$AD))*24</f>
        <v>0</v>
      </c>
      <c r="U5" s="61">
        <f>COUNTIF(Februar!$AF:$AF,"Arbeitsbefreiung")</f>
        <v>0</v>
      </c>
      <c r="V5" s="60">
        <f>(SUMIF(Februar!$AF:$AF,"Exerzitien",Februar!$AD:$AD))*24</f>
        <v>0</v>
      </c>
      <c r="W5" s="61">
        <f>COUNTIF(Februar!$AF:$AF,"Exerzitien")</f>
        <v>0</v>
      </c>
      <c r="X5" s="60">
        <f>(SUMIF(Februar!$AF:$AF,"Wallfahrt",Februar!$AD:$AD))*24</f>
        <v>0</v>
      </c>
      <c r="Y5" s="61">
        <f>COUNTIF(Februar!$AF:$AF,"Wallfahrt")</f>
        <v>0</v>
      </c>
      <c r="Z5" s="60">
        <f t="shared" ref="Z5:Z15" si="3">$O5-$P5-$R5-$T5-$V5-$X5</f>
        <v>156.00000000000006</v>
      </c>
      <c r="AA5" s="59">
        <f>Februar!$Z$40*24-$P5-$R5-$T5-$V5-$X5</f>
        <v>0</v>
      </c>
      <c r="AB5" s="60">
        <f t="shared" si="0"/>
        <v>-156.00000000000006</v>
      </c>
      <c r="AC5" s="62">
        <f>Februar!$I$44</f>
        <v>-163.80000000000004</v>
      </c>
      <c r="AD5" s="59">
        <f t="shared" si="1"/>
        <v>-319.80000000000007</v>
      </c>
      <c r="AE5" s="60">
        <f>ROUND((Februar!$AH$40)*24,10)</f>
        <v>0</v>
      </c>
      <c r="AF5" s="63">
        <v>0</v>
      </c>
      <c r="AG5" s="59">
        <f ca="1">ROUND((Februar!$AI$40)*24,10)-AH5</f>
        <v>0</v>
      </c>
      <c r="AH5" s="115">
        <f t="shared" ref="AH5:AH15" ca="1" si="4">ROUND(SUM(INDIRECT($A5&amp;"!E$57:$E$58"))*24,10)-(SUMIF(INDIRECT($A5&amp;"!$AE$9:$AE$39"),"Krank",INDIRECT($A5&amp;"!$AA$9:$AA$39"))+SUMIF(INDIRECT($A5&amp;"!$AE$9:$AE$39"),"Urlaub",INDIRECT($A5&amp;"!$AA$9:$AA$39"))+SUMIF(INDIRECT($A5&amp;"!$AE$9:$AE$39"),"Exerzitien",INDIRECT($A5&amp;"!$AA$9:$AA$39"))+SUMIF(INDIRECT($A5&amp;"!$AE$9:$AE$39"),"Wallfahrt",INDIRECT($A5&amp;"!$AA$9:$AA$39"))+SUMIF(INDIRECT($A5&amp;"!$AE$9:$AE$39"),"Arbeitsbefreiung",INDIRECT($A5&amp;"!$AA$9:$AA$39")))*24
-(SUMIF(INDIRECT($A5&amp;"!$AE$9:$AE$39"),"Krank",INDIRECT($A5&amp;"!$AB$9:$AB$39"))+SUMIF(INDIRECT($A5&amp;"!$AE$9:$AE$39"),"Urlaub",INDIRECT($A5&amp;"!$AB$9:$AB$39"))+SUMIF(INDIRECT($A5&amp;"!$AE$9:$AE$39"),"Exerzitien",INDIRECT($A5&amp;"!$AB$9:$AB$39"))+SUMIF(INDIRECT($A5&amp;"!$AE$9:$AE$39"),"Wallfahrt",INDIRECT($A5&amp;"!$AB$9:$AB$39"))+SUMIF(INDIRECT($A5&amp;"!$AE$9:$AE$39"),"Arbeitsbefreiung",INDIRECT($A5&amp;"!$AB$9:$AB$39")))*24</f>
        <v>0</v>
      </c>
      <c r="AI5" s="64">
        <f t="shared" ca="1" si="2"/>
        <v>0</v>
      </c>
      <c r="AJ5" s="59">
        <f>Februar!$I$53</f>
        <v>30</v>
      </c>
      <c r="AK5" s="65">
        <f t="shared" ref="AK5:AK15" ca="1" si="5">IFERROR($AE5/($AE5+$AG5),0)</f>
        <v>0</v>
      </c>
      <c r="AL5" s="66">
        <f t="shared" ref="AL5:AL15" ca="1" si="6">IFERROR($AG5/($AE5+$AG5),0)</f>
        <v>0</v>
      </c>
    </row>
    <row r="6" spans="1:39" s="67" customFormat="1" ht="16.5" customHeight="1" x14ac:dyDescent="0.35">
      <c r="A6" s="60" t="s">
        <v>80</v>
      </c>
      <c r="B6" s="68">
        <f>Grunddaten!$C$12</f>
        <v>12345</v>
      </c>
      <c r="C6" s="59" t="str">
        <f>Grunddaten!$C$9&amp;" "&amp;Grunddaten!$C$10&amp;" ("&amp;Grunddaten!$C$14&amp;")"</f>
        <v xml:space="preserve"> Musterperson (94032 Musterstadt)</v>
      </c>
      <c r="D6" s="55">
        <f>'AZ-Modell'!E11*24</f>
        <v>39</v>
      </c>
      <c r="E6" s="56">
        <f>'AZ-Modell'!$E$9</f>
        <v>5</v>
      </c>
      <c r="F6" s="56">
        <f>'AZ-Modell'!E$10*24</f>
        <v>7.8000000000000007</v>
      </c>
      <c r="G6" s="57" t="str">
        <f>IF(('AZ-Modell'!C$16+'AZ-Modell'!C$26+'AZ-Modell'!C$36)&lt;&gt;0,"Mo","")</f>
        <v>Mo</v>
      </c>
      <c r="H6" s="57" t="str">
        <f>IF(('AZ-Modell'!C$17+'AZ-Modell'!C$27+'AZ-Modell'!C$37)&lt;&gt;0,"Di","")</f>
        <v>Di</v>
      </c>
      <c r="I6" s="57" t="str">
        <f>IF(('AZ-Modell'!C$18+'AZ-Modell'!C$28+'AZ-Modell'!C$38)&lt;&gt;0,"Mi","")</f>
        <v>Mi</v>
      </c>
      <c r="J6" s="57" t="str">
        <f>IF(('AZ-Modell'!C$19+'AZ-Modell'!C$29+'AZ-Modell'!C$39)&lt;&gt;0,"Do","")</f>
        <v>Do</v>
      </c>
      <c r="K6" s="57" t="str">
        <f>IF(('AZ-Modell'!C$20+'AZ-Modell'!C$30+'AZ-Modell'!C$40)&lt;&gt;0,"Fr","")</f>
        <v>Fr</v>
      </c>
      <c r="L6" s="57" t="str">
        <f>IF(('AZ-Modell'!C$21+'AZ-Modell'!C$31+'AZ-Modell'!C$41)&lt;&gt;0,"Sa","")</f>
        <v/>
      </c>
      <c r="M6" s="57" t="str">
        <f>IF(('AZ-Modell'!C$22+'AZ-Modell'!C$32+'AZ-Modell'!C$42)&lt;&gt;0,"So","")</f>
        <v/>
      </c>
      <c r="N6" s="58">
        <f>COUNTIF(März!AD$9:AD$39,"&gt;0")</f>
        <v>21</v>
      </c>
      <c r="O6" s="59">
        <f>(März!$AD$40)*24</f>
        <v>163.80000000000004</v>
      </c>
      <c r="P6" s="60">
        <f>(SUMIF(März!$AF:$AF,"Urlaub",März!$AD:$AD))*24</f>
        <v>0</v>
      </c>
      <c r="Q6" s="61">
        <f>COUNTIF(März!$AF:$AF,"Urlaub")</f>
        <v>0</v>
      </c>
      <c r="R6" s="60">
        <f>(SUMIF(März!$AF:$AF,"Krank",März!$AD:$AD))*24</f>
        <v>0</v>
      </c>
      <c r="S6" s="61">
        <f>COUNTIF(März!$AF:$AF,"Krank")</f>
        <v>0</v>
      </c>
      <c r="T6" s="60">
        <f>(SUMIF(März!$AF:$AF,"Arbeitsbefreiung",März!$AD:$AD))*24</f>
        <v>0</v>
      </c>
      <c r="U6" s="61">
        <f>COUNTIF(März!$AF:$AF,"Arbeitsbefreiung")</f>
        <v>0</v>
      </c>
      <c r="V6" s="60">
        <f>(SUMIF(März!$AF:$AF,"Exerzitien",März!$AD:$AD))*24</f>
        <v>0</v>
      </c>
      <c r="W6" s="61">
        <f>COUNTIF(März!$AF:$AF,"Exerzitien")</f>
        <v>0</v>
      </c>
      <c r="X6" s="60">
        <f>(SUMIF(März!$AF:$AF,"Wallfahrt",März!$AD:$AD))*24</f>
        <v>0</v>
      </c>
      <c r="Y6" s="61">
        <f>COUNTIF(März!$AF:$AF,"Wallfahrt")</f>
        <v>0</v>
      </c>
      <c r="Z6" s="60">
        <f t="shared" si="3"/>
        <v>163.80000000000004</v>
      </c>
      <c r="AA6" s="59">
        <f>März!$Z$40*24-$P6-$R6-$T6-$V6-$X6</f>
        <v>0</v>
      </c>
      <c r="AB6" s="60">
        <f t="shared" si="0"/>
        <v>-163.80000000000004</v>
      </c>
      <c r="AC6" s="62">
        <f>März!$I$44</f>
        <v>-319.80000000000007</v>
      </c>
      <c r="AD6" s="59">
        <f t="shared" si="1"/>
        <v>-483.60000000000014</v>
      </c>
      <c r="AE6" s="60">
        <f>ROUND((März!$AH$40)*24,10)</f>
        <v>0</v>
      </c>
      <c r="AF6" s="63">
        <v>0</v>
      </c>
      <c r="AG6" s="59">
        <f ca="1">ROUND((März!$AI$40)*24,10)-AH6</f>
        <v>0</v>
      </c>
      <c r="AH6" s="115">
        <f t="shared" ca="1" si="4"/>
        <v>0</v>
      </c>
      <c r="AI6" s="64">
        <f t="shared" ca="1" si="2"/>
        <v>0</v>
      </c>
      <c r="AJ6" s="59">
        <f>März!$I$53</f>
        <v>30</v>
      </c>
      <c r="AK6" s="65">
        <f t="shared" ca="1" si="5"/>
        <v>0</v>
      </c>
      <c r="AL6" s="66">
        <f t="shared" ca="1" si="6"/>
        <v>0</v>
      </c>
    </row>
    <row r="7" spans="1:39" s="67" customFormat="1" ht="16.5" customHeight="1" x14ac:dyDescent="0.35">
      <c r="A7" s="60" t="s">
        <v>81</v>
      </c>
      <c r="B7" s="68">
        <f>Grunddaten!$C$12</f>
        <v>12345</v>
      </c>
      <c r="C7" s="59" t="str">
        <f>Grunddaten!$C$9&amp;" "&amp;Grunddaten!$C$10&amp;" ("&amp;Grunddaten!$C$14&amp;")"</f>
        <v xml:space="preserve"> Musterperson (94032 Musterstadt)</v>
      </c>
      <c r="D7" s="55">
        <f>'AZ-Modell'!F11*24</f>
        <v>39</v>
      </c>
      <c r="E7" s="56">
        <f>'AZ-Modell'!$F$9</f>
        <v>5</v>
      </c>
      <c r="F7" s="56">
        <f>'AZ-Modell'!F$10*24</f>
        <v>7.8000000000000007</v>
      </c>
      <c r="G7" s="57" t="str">
        <f>IF(('AZ-Modell'!C$16+'AZ-Modell'!C$26+'AZ-Modell'!C$36)&lt;&gt;0,"Mo","")</f>
        <v>Mo</v>
      </c>
      <c r="H7" s="57" t="str">
        <f>IF(('AZ-Modell'!C$17+'AZ-Modell'!C$27+'AZ-Modell'!C$37)&lt;&gt;0,"Di","")</f>
        <v>Di</v>
      </c>
      <c r="I7" s="57" t="str">
        <f>IF(('AZ-Modell'!C$18+'AZ-Modell'!C$28+'AZ-Modell'!C$38)&lt;&gt;0,"Mi","")</f>
        <v>Mi</v>
      </c>
      <c r="J7" s="57" t="str">
        <f>IF(('AZ-Modell'!C$19+'AZ-Modell'!C$29+'AZ-Modell'!C$39)&lt;&gt;0,"Do","")</f>
        <v>Do</v>
      </c>
      <c r="K7" s="57" t="str">
        <f>IF(('AZ-Modell'!C$20+'AZ-Modell'!C$30+'AZ-Modell'!C$40)&lt;&gt;0,"Fr","")</f>
        <v>Fr</v>
      </c>
      <c r="L7" s="57" t="str">
        <f>IF(('AZ-Modell'!C$21+'AZ-Modell'!C$31+'AZ-Modell'!C$41)&lt;&gt;0,"Sa","")</f>
        <v/>
      </c>
      <c r="M7" s="57" t="str">
        <f>IF(('AZ-Modell'!C$22+'AZ-Modell'!C$32+'AZ-Modell'!C$42)&lt;&gt;0,"So","")</f>
        <v/>
      </c>
      <c r="N7" s="58">
        <f>COUNTIF(April!AD$9:AD$39,"&gt;0")</f>
        <v>20</v>
      </c>
      <c r="O7" s="59">
        <f>(April!$AD$40)*24</f>
        <v>156.00000000000006</v>
      </c>
      <c r="P7" s="60">
        <f>(SUMIF(April!$AF:$AF,"Urlaub",April!$AD:$AD))*24</f>
        <v>0</v>
      </c>
      <c r="Q7" s="61">
        <f>COUNTIF(April!$AF:$AF,"Urlaub")</f>
        <v>0</v>
      </c>
      <c r="R7" s="60">
        <f>(SUMIF(April!$AF:$AF,"Krank",April!$AD:$AD))*24</f>
        <v>0</v>
      </c>
      <c r="S7" s="61">
        <f>COUNTIF(April!$AF:$AF,"Krank")</f>
        <v>0</v>
      </c>
      <c r="T7" s="60">
        <f>(SUMIF(April!$AF:$AF,"Arbeitsbefreiung",April!$AD:$AD))*24</f>
        <v>0</v>
      </c>
      <c r="U7" s="61">
        <f>COUNTIF(April!$AF:$AF,"Arbeitsbefreiung")</f>
        <v>0</v>
      </c>
      <c r="V7" s="60">
        <f>(SUMIF(April!$AF:$AF,"Exerzitien",April!$AD:$AD))*24</f>
        <v>0</v>
      </c>
      <c r="W7" s="61">
        <f>COUNTIF(April!$AF:$AF,"Exerzitien")</f>
        <v>0</v>
      </c>
      <c r="X7" s="60">
        <f>(SUMIF(April!$AF:$AF,"Wallfahrt",April!$AD:$AD))*24</f>
        <v>0</v>
      </c>
      <c r="Y7" s="61">
        <f>COUNTIF(April!$AF:$AF,"Wallfahrt")</f>
        <v>0</v>
      </c>
      <c r="Z7" s="60">
        <f t="shared" si="3"/>
        <v>156.00000000000006</v>
      </c>
      <c r="AA7" s="59">
        <f>April!$Z$40*24-$P7-$R7-$T7-$V7-$X7</f>
        <v>0</v>
      </c>
      <c r="AB7" s="60">
        <f t="shared" si="0"/>
        <v>-156.00000000000006</v>
      </c>
      <c r="AC7" s="62">
        <f>April!$I$44</f>
        <v>-483.60000000000014</v>
      </c>
      <c r="AD7" s="59">
        <f t="shared" si="1"/>
        <v>-639.60000000000014</v>
      </c>
      <c r="AE7" s="60">
        <f>ROUND((April!$AH$40)*24,10)</f>
        <v>0</v>
      </c>
      <c r="AF7" s="63">
        <v>0</v>
      </c>
      <c r="AG7" s="59">
        <f ca="1">ROUND((April!$AI$40)*24,10)-AH7</f>
        <v>0</v>
      </c>
      <c r="AH7" s="115">
        <f t="shared" ca="1" si="4"/>
        <v>0</v>
      </c>
      <c r="AI7" s="64">
        <f t="shared" ca="1" si="2"/>
        <v>0</v>
      </c>
      <c r="AJ7" s="59">
        <f>April!$I$53</f>
        <v>30</v>
      </c>
      <c r="AK7" s="65">
        <f t="shared" ca="1" si="5"/>
        <v>0</v>
      </c>
      <c r="AL7" s="66">
        <f t="shared" ca="1" si="6"/>
        <v>0</v>
      </c>
    </row>
    <row r="8" spans="1:39" s="67" customFormat="1" ht="16.5" customHeight="1" x14ac:dyDescent="0.35">
      <c r="A8" s="60" t="s">
        <v>82</v>
      </c>
      <c r="B8" s="68">
        <f>Grunddaten!$C$12</f>
        <v>12345</v>
      </c>
      <c r="C8" s="59" t="str">
        <f>Grunddaten!$C$9&amp;" "&amp;Grunddaten!$C$10&amp;" ("&amp;Grunddaten!$C$14&amp;")"</f>
        <v xml:space="preserve"> Musterperson (94032 Musterstadt)</v>
      </c>
      <c r="D8" s="55">
        <f>'AZ-Modell'!G11*24</f>
        <v>39</v>
      </c>
      <c r="E8" s="56">
        <f>'AZ-Modell'!$G$9</f>
        <v>5</v>
      </c>
      <c r="F8" s="56">
        <f>'AZ-Modell'!G$10*24</f>
        <v>7.8000000000000007</v>
      </c>
      <c r="G8" s="57" t="str">
        <f>IF(('AZ-Modell'!C$16+'AZ-Modell'!C$26+'AZ-Modell'!C$36)&lt;&gt;0,"Mo","")</f>
        <v>Mo</v>
      </c>
      <c r="H8" s="57" t="str">
        <f>IF(('AZ-Modell'!C$17+'AZ-Modell'!C$27+'AZ-Modell'!C$37)&lt;&gt;0,"Di","")</f>
        <v>Di</v>
      </c>
      <c r="I8" s="57" t="str">
        <f>IF(('AZ-Modell'!C$18+'AZ-Modell'!C$28+'AZ-Modell'!C$38)&lt;&gt;0,"Mi","")</f>
        <v>Mi</v>
      </c>
      <c r="J8" s="57" t="str">
        <f>IF(('AZ-Modell'!C$19+'AZ-Modell'!C$29+'AZ-Modell'!C$39)&lt;&gt;0,"Do","")</f>
        <v>Do</v>
      </c>
      <c r="K8" s="57" t="str">
        <f>IF(('AZ-Modell'!C$20+'AZ-Modell'!C$30+'AZ-Modell'!C$40)&lt;&gt;0,"Fr","")</f>
        <v>Fr</v>
      </c>
      <c r="L8" s="57" t="str">
        <f>IF(('AZ-Modell'!C$21+'AZ-Modell'!C$31+'AZ-Modell'!C$41)&lt;&gt;0,"Sa","")</f>
        <v/>
      </c>
      <c r="M8" s="57" t="str">
        <f>IF(('AZ-Modell'!C$22+'AZ-Modell'!C$32+'AZ-Modell'!C$42)&lt;&gt;0,"So","")</f>
        <v/>
      </c>
      <c r="N8" s="58">
        <f>COUNTIF(Mai!AD$9:AD$39,"&gt;0")</f>
        <v>20</v>
      </c>
      <c r="O8" s="59">
        <f>(Mai!$AD$40)*24</f>
        <v>156.00000000000006</v>
      </c>
      <c r="P8" s="60">
        <f>(SUMIF(Mai!$AF:$AF,"Urlaub",Mai!$AD:$AD))*24</f>
        <v>0</v>
      </c>
      <c r="Q8" s="61">
        <f>COUNTIF(Mai!$AF:$AF,"Urlaub")</f>
        <v>0</v>
      </c>
      <c r="R8" s="60">
        <f>(SUMIF(Mai!$AF:$AF,"Krank",Mai!$AD:$AD))*24</f>
        <v>0</v>
      </c>
      <c r="S8" s="61">
        <f>COUNTIF(Mai!$AF:$AF,"Krank")</f>
        <v>0</v>
      </c>
      <c r="T8" s="60">
        <f>(SUMIF(Mai!$AF:$AF,"Arbeitsbefreiung",Mai!$AD:$AD))*24</f>
        <v>0</v>
      </c>
      <c r="U8" s="61">
        <f>COUNTIF(Mai!$AF:$AF,"Arbeitsbefreiung")</f>
        <v>0</v>
      </c>
      <c r="V8" s="60">
        <f>(SUMIF(Mai!$AF:$AF,"Exerzitien",Mai!$AD:$AD))*24</f>
        <v>0</v>
      </c>
      <c r="W8" s="61">
        <f>COUNTIF(Mai!$AF:$AF,"Exerzitien")</f>
        <v>0</v>
      </c>
      <c r="X8" s="60">
        <f>(SUMIF(Mai!$AF:$AF,"Wallfahrt",Mai!$AD:$AD))*24</f>
        <v>0</v>
      </c>
      <c r="Y8" s="61">
        <f>COUNTIF(Mai!$AF:$AF,"Wallfahrt")</f>
        <v>0</v>
      </c>
      <c r="Z8" s="60">
        <f t="shared" si="3"/>
        <v>156.00000000000006</v>
      </c>
      <c r="AA8" s="59">
        <f>Mai!$Z$40*24-$P8-$R8-$T8-$V8-$X8</f>
        <v>0</v>
      </c>
      <c r="AB8" s="60">
        <f t="shared" si="0"/>
        <v>-156.00000000000006</v>
      </c>
      <c r="AC8" s="62">
        <f>Mai!$I$44</f>
        <v>-639.60000000000014</v>
      </c>
      <c r="AD8" s="59">
        <f t="shared" si="1"/>
        <v>-795.60000000000014</v>
      </c>
      <c r="AE8" s="60">
        <f>ROUND((Mai!$AH$40)*24,10)</f>
        <v>0</v>
      </c>
      <c r="AF8" s="63">
        <v>0</v>
      </c>
      <c r="AG8" s="59">
        <f ca="1">ROUND((Mai!$AI$40)*24,10)-AH8</f>
        <v>0</v>
      </c>
      <c r="AH8" s="115">
        <f t="shared" ca="1" si="4"/>
        <v>0</v>
      </c>
      <c r="AI8" s="64">
        <f t="shared" ca="1" si="2"/>
        <v>0</v>
      </c>
      <c r="AJ8" s="59">
        <f>Mai!$I$53</f>
        <v>30</v>
      </c>
      <c r="AK8" s="65">
        <f t="shared" ca="1" si="5"/>
        <v>0</v>
      </c>
      <c r="AL8" s="66">
        <f t="shared" ca="1" si="6"/>
        <v>0</v>
      </c>
    </row>
    <row r="9" spans="1:39" s="67" customFormat="1" ht="16.5" customHeight="1" x14ac:dyDescent="0.35">
      <c r="A9" s="60" t="s">
        <v>83</v>
      </c>
      <c r="B9" s="68">
        <f>Grunddaten!$C$12</f>
        <v>12345</v>
      </c>
      <c r="C9" s="59" t="str">
        <f>Grunddaten!$C$9&amp;" "&amp;Grunddaten!$C$10&amp;" ("&amp;Grunddaten!$C$14&amp;")"</f>
        <v xml:space="preserve"> Musterperson (94032 Musterstadt)</v>
      </c>
      <c r="D9" s="55">
        <f>'AZ-Modell'!H11*24</f>
        <v>39</v>
      </c>
      <c r="E9" s="56">
        <f>'AZ-Modell'!$H$9</f>
        <v>5</v>
      </c>
      <c r="F9" s="56">
        <f>'AZ-Modell'!H$10*24</f>
        <v>7.8000000000000007</v>
      </c>
      <c r="G9" s="57" t="str">
        <f>IF(('AZ-Modell'!C$16+'AZ-Modell'!C$26+'AZ-Modell'!C$36)&lt;&gt;0,"Mo","")</f>
        <v>Mo</v>
      </c>
      <c r="H9" s="57" t="str">
        <f>IF(('AZ-Modell'!C$17+'AZ-Modell'!C$27+'AZ-Modell'!C$37)&lt;&gt;0,"Di","")</f>
        <v>Di</v>
      </c>
      <c r="I9" s="57" t="str">
        <f>IF(('AZ-Modell'!C$18+'AZ-Modell'!C$28+'AZ-Modell'!C$38)&lt;&gt;0,"Mi","")</f>
        <v>Mi</v>
      </c>
      <c r="J9" s="57" t="str">
        <f>IF(('AZ-Modell'!C$19+'AZ-Modell'!C$29+'AZ-Modell'!C$39)&lt;&gt;0,"Do","")</f>
        <v>Do</v>
      </c>
      <c r="K9" s="57" t="str">
        <f>IF(('AZ-Modell'!C$20+'AZ-Modell'!C$30+'AZ-Modell'!C$40)&lt;&gt;0,"Fr","")</f>
        <v>Fr</v>
      </c>
      <c r="L9" s="57" t="str">
        <f>IF(('AZ-Modell'!C$21+'AZ-Modell'!C$31+'AZ-Modell'!C$41)&lt;&gt;0,"Sa","")</f>
        <v/>
      </c>
      <c r="M9" s="57" t="str">
        <f>IF(('AZ-Modell'!C$22+'AZ-Modell'!C$32+'AZ-Modell'!C$42)&lt;&gt;0,"So","")</f>
        <v/>
      </c>
      <c r="N9" s="58">
        <f>COUNTIF(Juni!AD$9:AD$39,"&gt;0")</f>
        <v>19</v>
      </c>
      <c r="O9" s="59">
        <f>(Juni!$AD$40)*24</f>
        <v>148.20000000000005</v>
      </c>
      <c r="P9" s="60">
        <f>(SUMIF(Juni!$AF:$AF,"Urlaub",Juni!$AD:$AD))*24</f>
        <v>0</v>
      </c>
      <c r="Q9" s="61">
        <f>COUNTIF(Juni!$AF:$AF,"Urlaub")</f>
        <v>0</v>
      </c>
      <c r="R9" s="60">
        <f>(SUMIF(Juni!$AF:$AF,"Krank",Juni!$AD:$AD))*24</f>
        <v>0</v>
      </c>
      <c r="S9" s="61">
        <f>COUNTIF(Juni!$AF:$AF,"Krank")</f>
        <v>0</v>
      </c>
      <c r="T9" s="60">
        <f>(SUMIF(Juni!$AF:$AF,"Arbeitsbefreiung",Juni!$AD:$AD))*24</f>
        <v>0</v>
      </c>
      <c r="U9" s="61">
        <f>COUNTIF(Juni!$AF:$AF,"Arbeitsbefreiung")</f>
        <v>0</v>
      </c>
      <c r="V9" s="60">
        <f>(SUMIF(Juni!$AF:$AF,"Exerzitien",Juni!$AD:$AD))*24</f>
        <v>0</v>
      </c>
      <c r="W9" s="61">
        <f>COUNTIF(Juni!$AF:$AF,"Exerzitien")</f>
        <v>0</v>
      </c>
      <c r="X9" s="60">
        <f>(SUMIF(Juni!$AF:$AF,"Wallfahrt",Juni!$AD:$AD))*24</f>
        <v>0</v>
      </c>
      <c r="Y9" s="61">
        <f>COUNTIF(Juni!$AF:$AF,"Wallfahrt")</f>
        <v>0</v>
      </c>
      <c r="Z9" s="60">
        <f t="shared" si="3"/>
        <v>148.20000000000005</v>
      </c>
      <c r="AA9" s="59">
        <f>Juni!$Z$40*24-$P9-$R9-$T9-$V9-$X9</f>
        <v>0</v>
      </c>
      <c r="AB9" s="60">
        <f t="shared" si="0"/>
        <v>-148.20000000000005</v>
      </c>
      <c r="AC9" s="62">
        <f>Juni!$I$44</f>
        <v>-795.60000000000014</v>
      </c>
      <c r="AD9" s="59">
        <f t="shared" si="1"/>
        <v>-943.80000000000018</v>
      </c>
      <c r="AE9" s="60">
        <f>ROUND((Juni!$AH$40)*24,10)</f>
        <v>0</v>
      </c>
      <c r="AF9" s="63">
        <v>0</v>
      </c>
      <c r="AG9" s="59">
        <f ca="1">ROUND((Juni!$AI$40)*24,10)-AH9</f>
        <v>0</v>
      </c>
      <c r="AH9" s="115">
        <f t="shared" ca="1" si="4"/>
        <v>0</v>
      </c>
      <c r="AI9" s="64">
        <f t="shared" ca="1" si="2"/>
        <v>0</v>
      </c>
      <c r="AJ9" s="59">
        <f>Juni!$I$53</f>
        <v>30</v>
      </c>
      <c r="AK9" s="65">
        <f t="shared" ca="1" si="5"/>
        <v>0</v>
      </c>
      <c r="AL9" s="66">
        <f t="shared" ca="1" si="6"/>
        <v>0</v>
      </c>
    </row>
    <row r="10" spans="1:39" s="67" customFormat="1" ht="16.5" customHeight="1" x14ac:dyDescent="0.35">
      <c r="A10" s="60" t="s">
        <v>84</v>
      </c>
      <c r="B10" s="68">
        <f>Grunddaten!$C$12</f>
        <v>12345</v>
      </c>
      <c r="C10" s="59" t="str">
        <f>Grunddaten!$C$9&amp;" "&amp;Grunddaten!$C$10&amp;" ("&amp;Grunddaten!$C$14&amp;")"</f>
        <v xml:space="preserve"> Musterperson (94032 Musterstadt)</v>
      </c>
      <c r="D10" s="55">
        <f>'AZ-Modell'!I11*24</f>
        <v>39</v>
      </c>
      <c r="E10" s="56">
        <f>'AZ-Modell'!$I$9</f>
        <v>5</v>
      </c>
      <c r="F10" s="56">
        <f>'AZ-Modell'!I$10*24</f>
        <v>7.8000000000000007</v>
      </c>
      <c r="G10" s="57" t="str">
        <f>IF(('AZ-Modell'!C$16+'AZ-Modell'!C$26+'AZ-Modell'!C$36)&lt;&gt;0,"Mo","")</f>
        <v>Mo</v>
      </c>
      <c r="H10" s="57" t="str">
        <f>IF(('AZ-Modell'!C$17+'AZ-Modell'!C$27+'AZ-Modell'!C$37)&lt;&gt;0,"Di","")</f>
        <v>Di</v>
      </c>
      <c r="I10" s="57" t="str">
        <f>IF(('AZ-Modell'!C$18+'AZ-Modell'!C$28+'AZ-Modell'!C$38)&lt;&gt;0,"Mi","")</f>
        <v>Mi</v>
      </c>
      <c r="J10" s="57" t="str">
        <f>IF(('AZ-Modell'!C$19+'AZ-Modell'!C$29+'AZ-Modell'!C$39)&lt;&gt;0,"Do","")</f>
        <v>Do</v>
      </c>
      <c r="K10" s="57" t="str">
        <f>IF(('AZ-Modell'!C$20+'AZ-Modell'!C$30+'AZ-Modell'!C$40)&lt;&gt;0,"Fr","")</f>
        <v>Fr</v>
      </c>
      <c r="L10" s="57" t="str">
        <f>IF(('AZ-Modell'!C$21+'AZ-Modell'!C$31+'AZ-Modell'!C$41)&lt;&gt;0,"Sa","")</f>
        <v/>
      </c>
      <c r="M10" s="57" t="str">
        <f>IF(('AZ-Modell'!C$22+'AZ-Modell'!C$32+'AZ-Modell'!C$42)&lt;&gt;0,"So","")</f>
        <v/>
      </c>
      <c r="N10" s="58">
        <f>COUNTIF(Juli!AD$9:AD$39,"&gt;0")</f>
        <v>23</v>
      </c>
      <c r="O10" s="59">
        <f>(Juli!$AD$40)*24</f>
        <v>179.40000000000006</v>
      </c>
      <c r="P10" s="60">
        <f>(SUMIF(Juli!$AF:$AF,"Urlaub",Juli!$AD:$AD))*24</f>
        <v>0</v>
      </c>
      <c r="Q10" s="61">
        <f>COUNTIF(Juli!$AF:$AF,"Urlaub")</f>
        <v>0</v>
      </c>
      <c r="R10" s="60">
        <f>(SUMIF(Juli!$AF:$AF,"Krank",Juli!$AD:$AD))*24</f>
        <v>0</v>
      </c>
      <c r="S10" s="61">
        <f>COUNTIF(Juli!$AF:$AF,"Krank")</f>
        <v>0</v>
      </c>
      <c r="T10" s="60">
        <f>(SUMIF(Juli!$AF:$AF,"Arbeitsbefreiung",Juli!$AD:$AD))*24</f>
        <v>0</v>
      </c>
      <c r="U10" s="61">
        <f>COUNTIF(Juli!$AF:$AF,"Arbeitsbefreiung")</f>
        <v>0</v>
      </c>
      <c r="V10" s="60">
        <f>(SUMIF(Juli!$AF:$AF,"Exerzitien",Juli!$AD:$AD))*24</f>
        <v>0</v>
      </c>
      <c r="W10" s="61">
        <f>COUNTIF(Juli!$AF:$AF,"Exerzitien")</f>
        <v>0</v>
      </c>
      <c r="X10" s="60">
        <f>(SUMIF(Juli!$AF:$AF,"Wallfahrt",Juli!$AD:$AD))*24</f>
        <v>0</v>
      </c>
      <c r="Y10" s="61">
        <f>COUNTIF(Juli!$AF:$AF,"Wallfahrt")</f>
        <v>0</v>
      </c>
      <c r="Z10" s="60">
        <f t="shared" si="3"/>
        <v>179.40000000000006</v>
      </c>
      <c r="AA10" s="59">
        <f>Juli!$Z$40*24-$P10-$R10-$T10-$V10-$X10</f>
        <v>0</v>
      </c>
      <c r="AB10" s="60">
        <f t="shared" si="0"/>
        <v>-179.40000000000006</v>
      </c>
      <c r="AC10" s="62">
        <f>Juli!$I$44</f>
        <v>-943.80000000000018</v>
      </c>
      <c r="AD10" s="59">
        <f t="shared" si="1"/>
        <v>-1123.2000000000003</v>
      </c>
      <c r="AE10" s="60">
        <f>ROUND((Juli!$AH$40)*24,10)</f>
        <v>0</v>
      </c>
      <c r="AF10" s="63">
        <v>0</v>
      </c>
      <c r="AG10" s="59">
        <f ca="1">ROUND((Juli!$AI$40)*24,10)-AH10</f>
        <v>0</v>
      </c>
      <c r="AH10" s="115">
        <f t="shared" ca="1" si="4"/>
        <v>0</v>
      </c>
      <c r="AI10" s="64">
        <f t="shared" ca="1" si="2"/>
        <v>0</v>
      </c>
      <c r="AJ10" s="59">
        <f>Juli!$I$53</f>
        <v>30</v>
      </c>
      <c r="AK10" s="65">
        <f t="shared" ca="1" si="5"/>
        <v>0</v>
      </c>
      <c r="AL10" s="66">
        <f t="shared" ca="1" si="6"/>
        <v>0</v>
      </c>
    </row>
    <row r="11" spans="1:39" s="67" customFormat="1" ht="16.5" customHeight="1" x14ac:dyDescent="0.35">
      <c r="A11" s="60" t="s">
        <v>85</v>
      </c>
      <c r="B11" s="68">
        <f>Grunddaten!$C$12</f>
        <v>12345</v>
      </c>
      <c r="C11" s="59" t="str">
        <f>Grunddaten!$C$9&amp;" "&amp;Grunddaten!$C$10&amp;" ("&amp;Grunddaten!$C$14&amp;")"</f>
        <v xml:space="preserve"> Musterperson (94032 Musterstadt)</v>
      </c>
      <c r="D11" s="55">
        <f>'AZ-Modell'!J11*24</f>
        <v>39</v>
      </c>
      <c r="E11" s="56">
        <f>'AZ-Modell'!$J$9</f>
        <v>5</v>
      </c>
      <c r="F11" s="56">
        <f>'AZ-Modell'!J$10*24</f>
        <v>7.8000000000000007</v>
      </c>
      <c r="G11" s="57" t="str">
        <f>IF(('AZ-Modell'!C$16+'AZ-Modell'!C$26+'AZ-Modell'!C$36)&lt;&gt;0,"Mo","")</f>
        <v>Mo</v>
      </c>
      <c r="H11" s="57" t="str">
        <f>IF(('AZ-Modell'!C$17+'AZ-Modell'!C$27+'AZ-Modell'!C$37)&lt;&gt;0,"Di","")</f>
        <v>Di</v>
      </c>
      <c r="I11" s="57" t="str">
        <f>IF(('AZ-Modell'!C$18+'AZ-Modell'!C$28+'AZ-Modell'!C$38)&lt;&gt;0,"Mi","")</f>
        <v>Mi</v>
      </c>
      <c r="J11" s="57" t="str">
        <f>IF(('AZ-Modell'!C$19+'AZ-Modell'!C$29+'AZ-Modell'!C$39)&lt;&gt;0,"Do","")</f>
        <v>Do</v>
      </c>
      <c r="K11" s="57" t="str">
        <f>IF(('AZ-Modell'!C$20+'AZ-Modell'!C$30+'AZ-Modell'!C$40)&lt;&gt;0,"Fr","")</f>
        <v>Fr</v>
      </c>
      <c r="L11" s="57" t="str">
        <f>IF(('AZ-Modell'!C$21+'AZ-Modell'!C$31+'AZ-Modell'!C$41)&lt;&gt;0,"Sa","")</f>
        <v/>
      </c>
      <c r="M11" s="57" t="str">
        <f>IF(('AZ-Modell'!C$22+'AZ-Modell'!C$32+'AZ-Modell'!C$42)&lt;&gt;0,"So","")</f>
        <v/>
      </c>
      <c r="N11" s="58">
        <f>COUNTIF(August!AD$9:AD$39,"&gt;0")</f>
        <v>20</v>
      </c>
      <c r="O11" s="59">
        <f>(August!$AD$40)*24</f>
        <v>156.00000000000006</v>
      </c>
      <c r="P11" s="60">
        <f>(SUMIF(August!$AF:$AF,"Urlaub",August!$AD:$AD))*24</f>
        <v>0</v>
      </c>
      <c r="Q11" s="61">
        <f>COUNTIF(August!$AF:$AF,"Urlaub")</f>
        <v>0</v>
      </c>
      <c r="R11" s="60">
        <f>(SUMIF(August!$AF:$AF,"Krank",August!$AD:$AD))*24</f>
        <v>0</v>
      </c>
      <c r="S11" s="61">
        <f>COUNTIF(August!$AF:$AF,"Krank")</f>
        <v>0</v>
      </c>
      <c r="T11" s="60">
        <f>(SUMIF(August!$AF:$AF,"Arbeitsbefreiung",August!$AD:$AD))*24</f>
        <v>0</v>
      </c>
      <c r="U11" s="61">
        <f>COUNTIF(August!$AF:$AF,"Arbeitsbefreiung")</f>
        <v>0</v>
      </c>
      <c r="V11" s="60">
        <f>(SUMIF(August!$AF:$AF,"Exerzitien",August!$AD:$AD))*24</f>
        <v>0</v>
      </c>
      <c r="W11" s="61">
        <f>COUNTIF(August!$AF:$AF,"Exerzitien")</f>
        <v>0</v>
      </c>
      <c r="X11" s="60">
        <f>(SUMIF(August!$AF:$AF,"Wallfahrt",August!$AD:$AD))*24</f>
        <v>0</v>
      </c>
      <c r="Y11" s="61">
        <f>COUNTIF(August!$AF:$AF,"Wallfahrt")</f>
        <v>0</v>
      </c>
      <c r="Z11" s="60">
        <f t="shared" si="3"/>
        <v>156.00000000000006</v>
      </c>
      <c r="AA11" s="59">
        <f>August!$Z$40*24-$P11-$R11-$T11-$V11-$X11</f>
        <v>0</v>
      </c>
      <c r="AB11" s="60">
        <f t="shared" si="0"/>
        <v>-156.00000000000006</v>
      </c>
      <c r="AC11" s="62">
        <f>August!$I$44</f>
        <v>-1123.2000000000003</v>
      </c>
      <c r="AD11" s="59">
        <f t="shared" si="1"/>
        <v>-1279.2000000000003</v>
      </c>
      <c r="AE11" s="60">
        <f>ROUND((August!$AH$40)*24,10)</f>
        <v>0</v>
      </c>
      <c r="AF11" s="63">
        <v>0</v>
      </c>
      <c r="AG11" s="59">
        <f ca="1">ROUND((August!$AI$40)*24,10)-AH11</f>
        <v>0</v>
      </c>
      <c r="AH11" s="115">
        <f t="shared" ca="1" si="4"/>
        <v>0</v>
      </c>
      <c r="AI11" s="64">
        <f t="shared" ca="1" si="2"/>
        <v>0</v>
      </c>
      <c r="AJ11" s="59">
        <f>August!$I$53</f>
        <v>30</v>
      </c>
      <c r="AK11" s="65">
        <f t="shared" ca="1" si="5"/>
        <v>0</v>
      </c>
      <c r="AL11" s="66">
        <f t="shared" ca="1" si="6"/>
        <v>0</v>
      </c>
    </row>
    <row r="12" spans="1:39" s="67" customFormat="1" ht="16.5" customHeight="1" x14ac:dyDescent="0.35">
      <c r="A12" s="60" t="s">
        <v>86</v>
      </c>
      <c r="B12" s="68">
        <f>Grunddaten!$C$12</f>
        <v>12345</v>
      </c>
      <c r="C12" s="59" t="str">
        <f>Grunddaten!$C$9&amp;" "&amp;Grunddaten!$C$10&amp;" ("&amp;Grunddaten!$C$14&amp;")"</f>
        <v xml:space="preserve"> Musterperson (94032 Musterstadt)</v>
      </c>
      <c r="D12" s="55">
        <f>'AZ-Modell'!K11*24</f>
        <v>39</v>
      </c>
      <c r="E12" s="56">
        <f>'AZ-Modell'!$K$9</f>
        <v>5</v>
      </c>
      <c r="F12" s="56">
        <f>'AZ-Modell'!K$10*24</f>
        <v>7.8000000000000007</v>
      </c>
      <c r="G12" s="57" t="str">
        <f>IF(('AZ-Modell'!C$16+'AZ-Modell'!C$26+'AZ-Modell'!C$36)&lt;&gt;0,"Mo","")</f>
        <v>Mo</v>
      </c>
      <c r="H12" s="57" t="str">
        <f>IF(('AZ-Modell'!C$17+'AZ-Modell'!C$27+'AZ-Modell'!C$37)&lt;&gt;0,"Di","")</f>
        <v>Di</v>
      </c>
      <c r="I12" s="57" t="str">
        <f>IF(('AZ-Modell'!C$18+'AZ-Modell'!C$28+'AZ-Modell'!C$38)&lt;&gt;0,"Mi","")</f>
        <v>Mi</v>
      </c>
      <c r="J12" s="57" t="str">
        <f>IF(('AZ-Modell'!C$19+'AZ-Modell'!C$29+'AZ-Modell'!C$39)&lt;&gt;0,"Do","")</f>
        <v>Do</v>
      </c>
      <c r="K12" s="57" t="str">
        <f>IF(('AZ-Modell'!C$20+'AZ-Modell'!C$30+'AZ-Modell'!C$40)&lt;&gt;0,"Fr","")</f>
        <v>Fr</v>
      </c>
      <c r="L12" s="57" t="str">
        <f>IF(('AZ-Modell'!C$21+'AZ-Modell'!C$31+'AZ-Modell'!C$41)&lt;&gt;0,"Sa","")</f>
        <v/>
      </c>
      <c r="M12" s="57" t="str">
        <f>IF(('AZ-Modell'!C$22+'AZ-Modell'!C$32+'AZ-Modell'!C$42)&lt;&gt;0,"So","")</f>
        <v/>
      </c>
      <c r="N12" s="58">
        <f>COUNTIF(September!AD$9:AD$39,"&gt;0")</f>
        <v>22</v>
      </c>
      <c r="O12" s="59">
        <f>(September!$AD$40)*24</f>
        <v>171.60000000000005</v>
      </c>
      <c r="P12" s="60">
        <f>(SUMIF(September!$AF:$AF,"Urlaub",September!$AD:$AD))*24</f>
        <v>0</v>
      </c>
      <c r="Q12" s="61">
        <f>COUNTIF(September!$AF:$AF,"Urlaub")</f>
        <v>0</v>
      </c>
      <c r="R12" s="60">
        <f>(SUMIF(September!$AF:$AF,"Krank",September!$AD:$AD))*24</f>
        <v>0</v>
      </c>
      <c r="S12" s="61">
        <f>COUNTIF(September!$AF:$AF,"Krank")</f>
        <v>0</v>
      </c>
      <c r="T12" s="60">
        <f>(SUMIF(Oktober!$AF:$AF,"Arbeitsbefreiung",Oktober!$AD:$AD))*24</f>
        <v>0</v>
      </c>
      <c r="U12" s="61">
        <f>COUNTIF(September!$AF:$AF,"Arbeitsbefreiung")</f>
        <v>0</v>
      </c>
      <c r="V12" s="60">
        <f>(SUMIF(Oktober!$AF:$AF,"Exerzitien",Oktober!$AD:$AD))*24</f>
        <v>0</v>
      </c>
      <c r="W12" s="61">
        <f>COUNTIF(September!$AF:$AF,"Exerzitien")</f>
        <v>0</v>
      </c>
      <c r="X12" s="60">
        <f>(SUMIF(Oktober!$AF:$AF,"Wallfahrt",Oktober!$AD:$AD))*24</f>
        <v>0</v>
      </c>
      <c r="Y12" s="61">
        <f>COUNTIF(September!$AF:$AF,"Wallfahrt")</f>
        <v>0</v>
      </c>
      <c r="Z12" s="60">
        <f t="shared" si="3"/>
        <v>171.60000000000005</v>
      </c>
      <c r="AA12" s="59">
        <f>September!$Z$40*24-$P12-$R12-$T12-$V12-$X12</f>
        <v>0</v>
      </c>
      <c r="AB12" s="60">
        <f t="shared" si="0"/>
        <v>-171.60000000000005</v>
      </c>
      <c r="AC12" s="62">
        <f>September!$I$44</f>
        <v>-1279.2000000000003</v>
      </c>
      <c r="AD12" s="59">
        <f t="shared" si="1"/>
        <v>-1450.8000000000004</v>
      </c>
      <c r="AE12" s="60">
        <f>ROUND((September!$AH$40)*24,10)</f>
        <v>0</v>
      </c>
      <c r="AF12" s="63">
        <v>0</v>
      </c>
      <c r="AG12" s="59">
        <f ca="1">ROUND((September!$AI$40)*24,10)-AH12</f>
        <v>0</v>
      </c>
      <c r="AH12" s="115">
        <f t="shared" ca="1" si="4"/>
        <v>0</v>
      </c>
      <c r="AI12" s="64">
        <f t="shared" ca="1" si="2"/>
        <v>0</v>
      </c>
      <c r="AJ12" s="59">
        <f>September!$I$53</f>
        <v>30</v>
      </c>
      <c r="AK12" s="65">
        <f t="shared" ca="1" si="5"/>
        <v>0</v>
      </c>
      <c r="AL12" s="66">
        <f t="shared" ca="1" si="6"/>
        <v>0</v>
      </c>
    </row>
    <row r="13" spans="1:39" s="67" customFormat="1" ht="16.5" customHeight="1" x14ac:dyDescent="0.35">
      <c r="A13" s="60" t="s">
        <v>87</v>
      </c>
      <c r="B13" s="68">
        <f>Grunddaten!$C$12</f>
        <v>12345</v>
      </c>
      <c r="C13" s="59" t="str">
        <f>Grunddaten!$C$9&amp;" "&amp;Grunddaten!$C$10&amp;" ("&amp;Grunddaten!$C$14&amp;")"</f>
        <v xml:space="preserve"> Musterperson (94032 Musterstadt)</v>
      </c>
      <c r="D13" s="55">
        <f>'AZ-Modell'!L11*24</f>
        <v>39</v>
      </c>
      <c r="E13" s="56">
        <f>'AZ-Modell'!$L$9</f>
        <v>5</v>
      </c>
      <c r="F13" s="56">
        <f>'AZ-Modell'!L$10*24</f>
        <v>7.8000000000000007</v>
      </c>
      <c r="G13" s="57" t="str">
        <f>IF(('AZ-Modell'!C$16+'AZ-Modell'!C$26+'AZ-Modell'!C$36)&lt;&gt;0,"Mo","")</f>
        <v>Mo</v>
      </c>
      <c r="H13" s="57" t="str">
        <f>IF(('AZ-Modell'!C$17+'AZ-Modell'!C$27+'AZ-Modell'!C$37)&lt;&gt;0,"Di","")</f>
        <v>Di</v>
      </c>
      <c r="I13" s="57" t="str">
        <f>IF(('AZ-Modell'!C$18+'AZ-Modell'!C$28+'AZ-Modell'!C$38)&lt;&gt;0,"Mi","")</f>
        <v>Mi</v>
      </c>
      <c r="J13" s="57" t="str">
        <f>IF(('AZ-Modell'!C$19+'AZ-Modell'!C$29+'AZ-Modell'!C$39)&lt;&gt;0,"Do","")</f>
        <v>Do</v>
      </c>
      <c r="K13" s="57" t="str">
        <f>IF(('AZ-Modell'!C$20+'AZ-Modell'!C$30+'AZ-Modell'!C$40)&lt;&gt;0,"Fr","")</f>
        <v>Fr</v>
      </c>
      <c r="L13" s="57" t="str">
        <f>IF(('AZ-Modell'!C$21+'AZ-Modell'!C$31+'AZ-Modell'!C$41)&lt;&gt;0,"Sa","")</f>
        <v/>
      </c>
      <c r="M13" s="57" t="str">
        <f>IF(('AZ-Modell'!C$22+'AZ-Modell'!C$32+'AZ-Modell'!C$42)&lt;&gt;0,"So","")</f>
        <v/>
      </c>
      <c r="N13" s="58">
        <f>COUNTIF(Oktober!AD$9:AD$39,"&gt;0")</f>
        <v>22</v>
      </c>
      <c r="O13" s="59">
        <f>(Oktober!$AD$40)*24</f>
        <v>171.60000000000005</v>
      </c>
      <c r="P13" s="60">
        <f>(SUMIF(Oktober!$AF:$AF,"Urlaub",Oktober!$AD:$AD))*24</f>
        <v>0</v>
      </c>
      <c r="Q13" s="61">
        <f>COUNTIF(Oktober!$AF:$AF,"Urlaub")</f>
        <v>0</v>
      </c>
      <c r="R13" s="60">
        <f>(SUMIF(Oktober!$AF:$AF,"Krank",Oktober!$AD:$AD))*24</f>
        <v>0</v>
      </c>
      <c r="S13" s="61">
        <f>COUNTIF(Oktober!$AF:$AF,"Krank")</f>
        <v>0</v>
      </c>
      <c r="T13" s="60">
        <f>(SUMIF(Oktober!$AF:$AF,"Arbeitsbefreiung",Oktober!$AD:$AD))*24</f>
        <v>0</v>
      </c>
      <c r="U13" s="61">
        <f>COUNTIF(Oktober!$AF:$AF,"Arbeitsbefreiung")</f>
        <v>0</v>
      </c>
      <c r="V13" s="60">
        <f>(SUMIF(Oktober!$AF:$AF,"Exerzitien",Oktober!$AD:$AD))*24</f>
        <v>0</v>
      </c>
      <c r="W13" s="61">
        <f>COUNTIF(Oktober!$AF:$AF,"Exerzitien")</f>
        <v>0</v>
      </c>
      <c r="X13" s="60">
        <f>(SUMIF(Oktober!$AF:$AF,"Wallfahrt",Oktober!$AD:$AD))*24</f>
        <v>0</v>
      </c>
      <c r="Y13" s="61">
        <f>COUNTIF(Oktober!$AF:$AF,"Wallfahrt")</f>
        <v>0</v>
      </c>
      <c r="Z13" s="60">
        <f t="shared" si="3"/>
        <v>171.60000000000005</v>
      </c>
      <c r="AA13" s="59">
        <f>Oktober!$Z$40*24-$P13-$R13-$T13-$V13-$X13</f>
        <v>0</v>
      </c>
      <c r="AB13" s="60">
        <f t="shared" si="0"/>
        <v>-171.60000000000005</v>
      </c>
      <c r="AC13" s="62">
        <f>Oktober!$I$44</f>
        <v>-1450.8000000000004</v>
      </c>
      <c r="AD13" s="59">
        <f t="shared" si="1"/>
        <v>-1622.4000000000005</v>
      </c>
      <c r="AE13" s="60">
        <f>ROUND((Oktober!$AH$40)*24,10)</f>
        <v>0</v>
      </c>
      <c r="AF13" s="63">
        <v>0</v>
      </c>
      <c r="AG13" s="59">
        <f ca="1">ROUND((Oktober!$AI$40)*24,10)-AH13</f>
        <v>0</v>
      </c>
      <c r="AH13" s="115">
        <f t="shared" ca="1" si="4"/>
        <v>0</v>
      </c>
      <c r="AI13" s="64">
        <f t="shared" ca="1" si="2"/>
        <v>0</v>
      </c>
      <c r="AJ13" s="59">
        <f>Oktober!$I$53</f>
        <v>30</v>
      </c>
      <c r="AK13" s="65">
        <f t="shared" ca="1" si="5"/>
        <v>0</v>
      </c>
      <c r="AL13" s="66">
        <f t="shared" ca="1" si="6"/>
        <v>0</v>
      </c>
    </row>
    <row r="14" spans="1:39" s="67" customFormat="1" ht="16.5" customHeight="1" x14ac:dyDescent="0.35">
      <c r="A14" s="60" t="s">
        <v>88</v>
      </c>
      <c r="B14" s="68">
        <f>Grunddaten!$C$12</f>
        <v>12345</v>
      </c>
      <c r="C14" s="59" t="str">
        <f>Grunddaten!$C$9&amp;" "&amp;Grunddaten!$C$10&amp;" ("&amp;Grunddaten!$C$14&amp;")"</f>
        <v xml:space="preserve"> Musterperson (94032 Musterstadt)</v>
      </c>
      <c r="D14" s="55">
        <f>'AZ-Modell'!M11*24</f>
        <v>39</v>
      </c>
      <c r="E14" s="56">
        <f>'AZ-Modell'!$M$9</f>
        <v>5</v>
      </c>
      <c r="F14" s="56">
        <f>'AZ-Modell'!M$10*24</f>
        <v>7.8000000000000007</v>
      </c>
      <c r="G14" s="57" t="str">
        <f>IF(('AZ-Modell'!C$16+'AZ-Modell'!C$26+'AZ-Modell'!C$36)&lt;&gt;0,"Mo","")</f>
        <v>Mo</v>
      </c>
      <c r="H14" s="57" t="str">
        <f>IF(('AZ-Modell'!C$17+'AZ-Modell'!C$27+'AZ-Modell'!C$37)&lt;&gt;0,"Di","")</f>
        <v>Di</v>
      </c>
      <c r="I14" s="57" t="str">
        <f>IF(('AZ-Modell'!C$18+'AZ-Modell'!C$28+'AZ-Modell'!C$38)&lt;&gt;0,"Mi","")</f>
        <v>Mi</v>
      </c>
      <c r="J14" s="57" t="str">
        <f>IF(('AZ-Modell'!C$19+'AZ-Modell'!C$29+'AZ-Modell'!C$39)&lt;&gt;0,"Do","")</f>
        <v>Do</v>
      </c>
      <c r="K14" s="57" t="str">
        <f>IF(('AZ-Modell'!C$20+'AZ-Modell'!C$30+'AZ-Modell'!C$40)&lt;&gt;0,"Fr","")</f>
        <v>Fr</v>
      </c>
      <c r="L14" s="57" t="str">
        <f>IF(('AZ-Modell'!C$21+'AZ-Modell'!C$31+'AZ-Modell'!C$41)&lt;&gt;0,"Sa","")</f>
        <v/>
      </c>
      <c r="M14" s="57" t="str">
        <f>IF(('AZ-Modell'!C$22+'AZ-Modell'!C$32+'AZ-Modell'!C$42)&lt;&gt;0,"So","")</f>
        <v/>
      </c>
      <c r="N14" s="58">
        <f>COUNTIF(November!AD$9:AD$39,"&gt;0")</f>
        <v>20</v>
      </c>
      <c r="O14" s="59">
        <f>(November!$AD$40)*24</f>
        <v>156.00000000000006</v>
      </c>
      <c r="P14" s="60">
        <f>(SUMIF(November!$AF:$AF,"Urlaub",November!$AD:$AD))*24</f>
        <v>0</v>
      </c>
      <c r="Q14" s="61">
        <f>COUNTIF(November!$AF:$AF,"Urlaub")</f>
        <v>0</v>
      </c>
      <c r="R14" s="60">
        <f>(SUMIF(November!$AF:$AF,"Krank",November!$AD:$AD))*24</f>
        <v>0</v>
      </c>
      <c r="S14" s="61">
        <f>COUNTIF(November!$AF:$AF,"Krank")</f>
        <v>0</v>
      </c>
      <c r="T14" s="60">
        <f>(SUMIF(November!$AF:$AF,"Arbeitsbefreiung",November!$AD:$AD))*24</f>
        <v>0</v>
      </c>
      <c r="U14" s="61">
        <f>COUNTIF(November!$AF:$AF,"Arbeitsbefreiung")</f>
        <v>0</v>
      </c>
      <c r="V14" s="60">
        <f>(SUMIF(November!$AF:$AF,"Exerzitien",November!$AD:$AD))*24</f>
        <v>0</v>
      </c>
      <c r="W14" s="61">
        <f>COUNTIF(November!$AF:$AF,"Exerzitien")</f>
        <v>0</v>
      </c>
      <c r="X14" s="60">
        <f>(SUMIF(November!$AF:$AF,"Wallfahrt",November!$AD:$AD))*24</f>
        <v>0</v>
      </c>
      <c r="Y14" s="61">
        <f>COUNTIF(November!$AF:$AF,"Wallfahrt")</f>
        <v>0</v>
      </c>
      <c r="Z14" s="60">
        <f t="shared" si="3"/>
        <v>156.00000000000006</v>
      </c>
      <c r="AA14" s="59">
        <f>November!$Z$40*24-$P14-$R14-$T14-$V14-$X14</f>
        <v>0</v>
      </c>
      <c r="AB14" s="60">
        <f t="shared" si="0"/>
        <v>-156.00000000000006</v>
      </c>
      <c r="AC14" s="62">
        <f>November!$I$44</f>
        <v>-1622.4000000000005</v>
      </c>
      <c r="AD14" s="59">
        <f t="shared" si="1"/>
        <v>-1778.4000000000005</v>
      </c>
      <c r="AE14" s="60">
        <f>ROUND((November!$AH$40)*24,10)</f>
        <v>0</v>
      </c>
      <c r="AF14" s="63">
        <v>0</v>
      </c>
      <c r="AG14" s="59">
        <f ca="1">ROUND((November!$AI$40)*24,10)-AH14</f>
        <v>0</v>
      </c>
      <c r="AH14" s="115">
        <f t="shared" ca="1" si="4"/>
        <v>0</v>
      </c>
      <c r="AI14" s="64">
        <f t="shared" ca="1" si="2"/>
        <v>0</v>
      </c>
      <c r="AJ14" s="59">
        <f>November!$I$53</f>
        <v>30</v>
      </c>
      <c r="AK14" s="65">
        <f t="shared" ca="1" si="5"/>
        <v>0</v>
      </c>
      <c r="AL14" s="66">
        <f t="shared" ca="1" si="6"/>
        <v>0</v>
      </c>
    </row>
    <row r="15" spans="1:39" s="67" customFormat="1" ht="16.5" customHeight="1" x14ac:dyDescent="0.35">
      <c r="A15" s="60" t="s">
        <v>89</v>
      </c>
      <c r="B15" s="68">
        <f>Grunddaten!$C$12</f>
        <v>12345</v>
      </c>
      <c r="C15" s="59" t="str">
        <f>Grunddaten!$C$9&amp;" "&amp;Grunddaten!$C$10&amp;" ("&amp;Grunddaten!$C$14&amp;")"</f>
        <v xml:space="preserve"> Musterperson (94032 Musterstadt)</v>
      </c>
      <c r="D15" s="55">
        <f>'AZ-Modell'!N11*24</f>
        <v>39</v>
      </c>
      <c r="E15" s="56">
        <f>'AZ-Modell'!$N$9</f>
        <v>5</v>
      </c>
      <c r="F15" s="56">
        <f>'AZ-Modell'!N$10*24</f>
        <v>7.8000000000000007</v>
      </c>
      <c r="G15" s="57" t="str">
        <f>IF(('AZ-Modell'!C$16+'AZ-Modell'!C$26+'AZ-Modell'!C$36)&lt;&gt;0,"Mo","")</f>
        <v>Mo</v>
      </c>
      <c r="H15" s="57" t="str">
        <f>IF(('AZ-Modell'!C$17+'AZ-Modell'!C$27+'AZ-Modell'!C$37)&lt;&gt;0,"Di","")</f>
        <v>Di</v>
      </c>
      <c r="I15" s="57" t="str">
        <f>IF(('AZ-Modell'!C$18+'AZ-Modell'!C$28+'AZ-Modell'!C$38)&lt;&gt;0,"Mi","")</f>
        <v>Mi</v>
      </c>
      <c r="J15" s="57" t="str">
        <f>IF(('AZ-Modell'!C$19+'AZ-Modell'!C$29+'AZ-Modell'!C$39)&lt;&gt;0,"Do","")</f>
        <v>Do</v>
      </c>
      <c r="K15" s="57" t="str">
        <f>IF(('AZ-Modell'!C$20+'AZ-Modell'!C$30+'AZ-Modell'!C$40)&lt;&gt;0,"Fr","")</f>
        <v>Fr</v>
      </c>
      <c r="L15" s="57" t="str">
        <f>IF(('AZ-Modell'!C$21+'AZ-Modell'!C$31+'AZ-Modell'!C$41)&lt;&gt;0,"Sa","")</f>
        <v/>
      </c>
      <c r="M15" s="57" t="str">
        <f>IF(('AZ-Modell'!C$22+'AZ-Modell'!C$32+'AZ-Modell'!C$42)&lt;&gt;0,"So","")</f>
        <v/>
      </c>
      <c r="N15" s="58">
        <f>COUNTIF(Dezember!AD$9:AD$39,"&gt;0")</f>
        <v>19</v>
      </c>
      <c r="O15" s="59">
        <f>(Dezember!$AD$40)*24</f>
        <v>148.20000000000005</v>
      </c>
      <c r="P15" s="60">
        <f>(SUMIF(Dezember!$AF:$AF,"Urlaub",Dezember!$AD:$AD))*24</f>
        <v>0</v>
      </c>
      <c r="Q15" s="61">
        <f>COUNTIF(Dezember!$AF:$AF,"Urlaub")</f>
        <v>0</v>
      </c>
      <c r="R15" s="60">
        <f>(SUMIF(Dezember!$AF:$AF,"Krank",Dezember!$AD:$AD))*24</f>
        <v>0</v>
      </c>
      <c r="S15" s="61">
        <f>COUNTIF(Dezember!$AF:$AF,"Krank")</f>
        <v>0</v>
      </c>
      <c r="T15" s="60">
        <f>(SUMIF(Dezember!$AF:$AF,"Arbeitsbefreiung",Dezember!$AD:$AD))*24</f>
        <v>0</v>
      </c>
      <c r="U15" s="61">
        <f>COUNTIF(Dezember!$AF:$AF,"Arbeitsbefreiung")</f>
        <v>0</v>
      </c>
      <c r="V15" s="60">
        <f>(SUMIF(Dezember!$AF:$AF,"Exerzitien",Dezember!$AD:$AD))*24</f>
        <v>0</v>
      </c>
      <c r="W15" s="61">
        <f>COUNTIF(Dezember!$AF:$AF,"Exerzitien")</f>
        <v>0</v>
      </c>
      <c r="X15" s="60">
        <f>(SUMIF(Dezember!$AF:$AF,"Wallfahrt",Dezember!$AD:$AD))*24</f>
        <v>0</v>
      </c>
      <c r="Y15" s="61">
        <f>COUNTIF(Dezember!$AF:$AF,"Wallfahrt")</f>
        <v>0</v>
      </c>
      <c r="Z15" s="60">
        <f t="shared" si="3"/>
        <v>148.20000000000005</v>
      </c>
      <c r="AA15" s="59">
        <f>Dezember!$Z$40*24-$P15-$R15-$T15-$V15-$X15</f>
        <v>0</v>
      </c>
      <c r="AB15" s="60">
        <f t="shared" si="0"/>
        <v>-148.20000000000005</v>
      </c>
      <c r="AC15" s="62">
        <f>Dezember!$I$44</f>
        <v>-1778.4000000000005</v>
      </c>
      <c r="AD15" s="59">
        <f t="shared" si="1"/>
        <v>-1926.6000000000006</v>
      </c>
      <c r="AE15" s="60">
        <f>ROUND((Dezember!$AH$40)*24,10)</f>
        <v>0</v>
      </c>
      <c r="AF15" s="63">
        <v>0</v>
      </c>
      <c r="AG15" s="59">
        <f ca="1">ROUND((Dezember!$AI$40)*24,10)-AH15</f>
        <v>0</v>
      </c>
      <c r="AH15" s="115">
        <f t="shared" ca="1" si="4"/>
        <v>0</v>
      </c>
      <c r="AI15" s="64">
        <f ca="1">IF($AE15+$AG15+$AH15=$AA15,0,1)</f>
        <v>0</v>
      </c>
      <c r="AJ15" s="59">
        <f>Dezember!$I$53</f>
        <v>30</v>
      </c>
      <c r="AK15" s="65">
        <f t="shared" ca="1" si="5"/>
        <v>0</v>
      </c>
      <c r="AL15" s="66">
        <f t="shared" ca="1" si="6"/>
        <v>0</v>
      </c>
    </row>
    <row r="16" spans="1:39" s="34" customFormat="1" ht="16.5" customHeight="1" thickBot="1" x14ac:dyDescent="0.4">
      <c r="A16" s="69" t="s">
        <v>137</v>
      </c>
      <c r="B16" s="70"/>
      <c r="C16" s="71"/>
      <c r="D16" s="72">
        <f>AVERAGE(D4:D15)</f>
        <v>39</v>
      </c>
      <c r="E16" s="73">
        <f>AVERAGE(E4:E15)</f>
        <v>5</v>
      </c>
      <c r="F16" s="73">
        <f>AVERAGE(F4:F15)</f>
        <v>7.799999999999998</v>
      </c>
      <c r="G16" s="74"/>
      <c r="H16" s="74"/>
      <c r="I16" s="74"/>
      <c r="J16" s="74"/>
      <c r="K16" s="74"/>
      <c r="L16" s="74"/>
      <c r="M16" s="74"/>
      <c r="N16" s="75">
        <f t="shared" ref="N16:U16" si="7">SUM(N4:N15)</f>
        <v>247</v>
      </c>
      <c r="O16" s="76">
        <f>SUM(O4:O15)</f>
        <v>1926.6000000000006</v>
      </c>
      <c r="P16" s="77">
        <f t="shared" si="7"/>
        <v>0</v>
      </c>
      <c r="Q16" s="78">
        <f t="shared" si="7"/>
        <v>0</v>
      </c>
      <c r="R16" s="77">
        <f t="shared" si="7"/>
        <v>0</v>
      </c>
      <c r="S16" s="78">
        <f t="shared" si="7"/>
        <v>0</v>
      </c>
      <c r="T16" s="77">
        <f t="shared" si="7"/>
        <v>0</v>
      </c>
      <c r="U16" s="78">
        <f t="shared" si="7"/>
        <v>0</v>
      </c>
      <c r="V16" s="77">
        <f t="shared" ref="V16:Y16" si="8">SUM(V4:V15)</f>
        <v>0</v>
      </c>
      <c r="W16" s="78">
        <f t="shared" si="8"/>
        <v>0</v>
      </c>
      <c r="X16" s="77">
        <f t="shared" si="8"/>
        <v>0</v>
      </c>
      <c r="Y16" s="78">
        <f t="shared" si="8"/>
        <v>0</v>
      </c>
      <c r="Z16" s="77">
        <f>SUM(Z4:Z15)</f>
        <v>1926.6000000000006</v>
      </c>
      <c r="AA16" s="76">
        <f>SUM(AA4:AA15)</f>
        <v>0</v>
      </c>
      <c r="AB16" s="77"/>
      <c r="AC16" s="79"/>
      <c r="AD16" s="76"/>
      <c r="AE16" s="77">
        <f>SUM(AE4:AE15)</f>
        <v>0</v>
      </c>
      <c r="AF16" s="79">
        <f>SUM(AF4:AF15)</f>
        <v>0</v>
      </c>
      <c r="AG16" s="76">
        <f ca="1">SUM(AG4:AG15)</f>
        <v>0</v>
      </c>
      <c r="AH16" s="76">
        <f ca="1">SUM(AH4:AH15)</f>
        <v>0</v>
      </c>
      <c r="AI16" s="80"/>
      <c r="AJ16" s="78"/>
      <c r="AK16" s="81">
        <f ca="1">IFERROR($AE16/($AE16+$AG16),0)</f>
        <v>0</v>
      </c>
      <c r="AL16" s="82">
        <f ca="1">IFERROR($AG16/($AE16+$AG16),0)</f>
        <v>0</v>
      </c>
    </row>
    <row r="18" spans="1:39" s="84" customFormat="1" ht="10.5" x14ac:dyDescent="0.25">
      <c r="A18" s="2"/>
      <c r="B18" s="2"/>
      <c r="C18" s="2"/>
      <c r="D18" s="83"/>
      <c r="E18" s="83"/>
      <c r="F18" s="83"/>
    </row>
    <row r="19" spans="1:39" s="33" customFormat="1" x14ac:dyDescent="0.35">
      <c r="A19" s="3"/>
      <c r="B19" s="3"/>
      <c r="C19" s="3"/>
      <c r="D19" s="31"/>
      <c r="E19" s="31"/>
      <c r="F19" s="31"/>
      <c r="AG19" s="3"/>
      <c r="AH19" s="3"/>
      <c r="AI19" s="3"/>
      <c r="AJ19" s="3"/>
      <c r="AK19" s="3"/>
      <c r="AL19" s="3"/>
      <c r="AM19" s="3"/>
    </row>
    <row r="20" spans="1:39" s="33" customFormat="1" x14ac:dyDescent="0.35">
      <c r="A20" s="3"/>
      <c r="B20" s="3"/>
      <c r="C20" s="3"/>
      <c r="D20" s="31"/>
      <c r="E20" s="31"/>
      <c r="F20" s="31"/>
      <c r="G20" s="31"/>
      <c r="H20" s="31"/>
      <c r="I20" s="31"/>
      <c r="J20" s="31"/>
      <c r="K20" s="31"/>
      <c r="L20" s="31"/>
      <c r="M20" s="31"/>
      <c r="N20" s="31"/>
      <c r="O20" s="31"/>
      <c r="P20" s="31"/>
      <c r="Q20" s="31"/>
      <c r="R20" s="31"/>
      <c r="S20" s="31"/>
      <c r="AG20" s="3"/>
      <c r="AH20" s="3"/>
      <c r="AI20" s="3"/>
      <c r="AJ20" s="3"/>
      <c r="AK20" s="3"/>
      <c r="AL20" s="3"/>
      <c r="AM20" s="3"/>
    </row>
    <row r="21" spans="1:39" s="33" customFormat="1" x14ac:dyDescent="0.35">
      <c r="A21" s="3"/>
      <c r="B21" s="3"/>
      <c r="C21" s="3"/>
      <c r="D21" s="31"/>
      <c r="E21" s="31"/>
      <c r="F21" s="31"/>
      <c r="AG21" s="3"/>
      <c r="AH21" s="3"/>
      <c r="AI21" s="3"/>
      <c r="AJ21" s="3"/>
      <c r="AK21" s="3"/>
      <c r="AL21" s="3"/>
      <c r="AM21" s="3"/>
    </row>
    <row r="22" spans="1:39" s="33" customFormat="1" x14ac:dyDescent="0.35">
      <c r="A22" s="3"/>
      <c r="B22" s="3"/>
      <c r="C22" s="3"/>
      <c r="D22" s="31"/>
      <c r="E22" s="31"/>
      <c r="F22" s="31"/>
      <c r="AG22" s="3"/>
      <c r="AH22" s="3"/>
      <c r="AI22" s="3"/>
      <c r="AJ22" s="3"/>
      <c r="AK22" s="3"/>
      <c r="AL22" s="3"/>
      <c r="AM22" s="3"/>
    </row>
    <row r="23" spans="1:39" s="33" customFormat="1" x14ac:dyDescent="0.35">
      <c r="A23" s="3"/>
      <c r="B23" s="3"/>
      <c r="C23" s="3"/>
      <c r="D23" s="31"/>
      <c r="E23" s="31"/>
      <c r="F23" s="31"/>
      <c r="AG23" s="3"/>
      <c r="AH23" s="3"/>
      <c r="AI23" s="3"/>
      <c r="AJ23" s="3"/>
      <c r="AK23" s="3"/>
      <c r="AL23" s="3"/>
      <c r="AM23" s="3"/>
    </row>
    <row r="24" spans="1:39" s="33" customFormat="1" x14ac:dyDescent="0.35">
      <c r="A24" s="3"/>
      <c r="B24" s="3"/>
      <c r="C24" s="3"/>
      <c r="D24" s="31"/>
      <c r="E24" s="31"/>
      <c r="F24" s="31"/>
      <c r="AG24" s="3"/>
      <c r="AH24" s="3"/>
      <c r="AI24" s="3"/>
      <c r="AJ24" s="3"/>
      <c r="AK24" s="3"/>
      <c r="AL24" s="3"/>
      <c r="AM24" s="3"/>
    </row>
  </sheetData>
  <mergeCells count="9">
    <mergeCell ref="AB2:AD2"/>
    <mergeCell ref="AE2:AL2"/>
    <mergeCell ref="G3:M3"/>
    <mergeCell ref="D2:O2"/>
    <mergeCell ref="P2:Q2"/>
    <mergeCell ref="R2:S2"/>
    <mergeCell ref="T2:U2"/>
    <mergeCell ref="X2:Y2"/>
    <mergeCell ref="V2:W2"/>
  </mergeCell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61">
    <tabColor theme="4"/>
  </sheetPr>
  <dimension ref="A1:F36"/>
  <sheetViews>
    <sheetView showGridLines="0" zoomScaleNormal="100" workbookViewId="0">
      <selection activeCell="C12" sqref="C12"/>
    </sheetView>
  </sheetViews>
  <sheetFormatPr baseColWidth="10" defaultColWidth="11.453125" defaultRowHeight="13" x14ac:dyDescent="0.3"/>
  <cols>
    <col min="1" max="1" width="61.26953125" style="17" bestFit="1" customWidth="1"/>
    <col min="2" max="2" width="11.453125" style="16"/>
    <col min="3" max="3" width="20.26953125" style="16" bestFit="1" customWidth="1"/>
    <col min="4" max="5" width="11.453125" style="16"/>
    <col min="6" max="6" width="20.26953125" style="16" bestFit="1" customWidth="1"/>
    <col min="7" max="16384" width="11.453125" style="16"/>
  </cols>
  <sheetData>
    <row r="1" spans="1:6" s="6" customFormat="1" ht="18.5" x14ac:dyDescent="0.3">
      <c r="A1" s="501" t="s">
        <v>103</v>
      </c>
      <c r="B1" s="501"/>
      <c r="C1" s="501"/>
      <c r="D1" s="501"/>
      <c r="E1" s="501"/>
      <c r="F1" s="501"/>
    </row>
    <row r="2" spans="1:6" ht="15" customHeight="1" x14ac:dyDescent="0.3">
      <c r="A2" s="18"/>
    </row>
    <row r="3" spans="1:6" ht="15" customHeight="1" x14ac:dyDescent="0.3">
      <c r="A3" s="18"/>
    </row>
    <row r="4" spans="1:6" ht="15" customHeight="1" x14ac:dyDescent="0.3">
      <c r="A4" s="16"/>
      <c r="C4" s="19" t="s">
        <v>104</v>
      </c>
      <c r="F4" s="20" t="s">
        <v>105</v>
      </c>
    </row>
    <row r="5" spans="1:6" ht="15" customHeight="1" x14ac:dyDescent="0.3">
      <c r="A5" s="18"/>
    </row>
    <row r="6" spans="1:6" s="15" customFormat="1" ht="18.5" x14ac:dyDescent="0.45">
      <c r="A6" s="21" t="s">
        <v>106</v>
      </c>
      <c r="C6" s="261" t="s">
        <v>107</v>
      </c>
      <c r="F6" s="261" t="s">
        <v>108</v>
      </c>
    </row>
    <row r="7" spans="1:6" x14ac:dyDescent="0.3">
      <c r="C7" s="22"/>
      <c r="F7" s="22"/>
    </row>
    <row r="8" spans="1:6" x14ac:dyDescent="0.3">
      <c r="A8" s="17" t="s">
        <v>92</v>
      </c>
      <c r="C8" s="23">
        <v>5</v>
      </c>
      <c r="F8" s="24">
        <f>C8</f>
        <v>5</v>
      </c>
    </row>
    <row r="9" spans="1:6" x14ac:dyDescent="0.3">
      <c r="A9" s="25" t="s">
        <v>93</v>
      </c>
      <c r="C9" s="178">
        <v>7.8</v>
      </c>
      <c r="F9" s="175">
        <f>C9/24</f>
        <v>0.32500000000000001</v>
      </c>
    </row>
    <row r="10" spans="1:6" x14ac:dyDescent="0.3">
      <c r="A10" s="17" t="s">
        <v>94</v>
      </c>
      <c r="C10" s="179">
        <f>C9*C8</f>
        <v>39</v>
      </c>
      <c r="F10" s="29">
        <f>F9*F8</f>
        <v>1.625</v>
      </c>
    </row>
    <row r="11" spans="1:6" x14ac:dyDescent="0.3">
      <c r="C11" s="180"/>
      <c r="F11" s="27"/>
    </row>
    <row r="12" spans="1:6" x14ac:dyDescent="0.3">
      <c r="A12" s="17" t="s">
        <v>95</v>
      </c>
      <c r="C12" s="178">
        <v>7.8</v>
      </c>
      <c r="F12" s="175">
        <f t="shared" ref="F12:F18" si="0">C12/24</f>
        <v>0.32500000000000001</v>
      </c>
    </row>
    <row r="13" spans="1:6" x14ac:dyDescent="0.3">
      <c r="A13" s="17" t="s">
        <v>96</v>
      </c>
      <c r="C13" s="178">
        <v>7.8</v>
      </c>
      <c r="F13" s="175">
        <f t="shared" si="0"/>
        <v>0.32500000000000001</v>
      </c>
    </row>
    <row r="14" spans="1:6" x14ac:dyDescent="0.3">
      <c r="A14" s="17" t="s">
        <v>97</v>
      </c>
      <c r="C14" s="178">
        <v>7.8</v>
      </c>
      <c r="F14" s="175">
        <f t="shared" si="0"/>
        <v>0.32500000000000001</v>
      </c>
    </row>
    <row r="15" spans="1:6" x14ac:dyDescent="0.3">
      <c r="A15" s="17" t="s">
        <v>98</v>
      </c>
      <c r="C15" s="178">
        <v>7.8</v>
      </c>
      <c r="F15" s="175">
        <f t="shared" si="0"/>
        <v>0.32500000000000001</v>
      </c>
    </row>
    <row r="16" spans="1:6" x14ac:dyDescent="0.3">
      <c r="A16" s="17" t="s">
        <v>99</v>
      </c>
      <c r="C16" s="178">
        <v>7.8</v>
      </c>
      <c r="F16" s="175">
        <f t="shared" si="0"/>
        <v>0.32500000000000001</v>
      </c>
    </row>
    <row r="17" spans="1:6" x14ac:dyDescent="0.3">
      <c r="A17" s="17" t="s">
        <v>100</v>
      </c>
      <c r="C17" s="178">
        <v>0</v>
      </c>
      <c r="F17" s="175">
        <f t="shared" si="0"/>
        <v>0</v>
      </c>
    </row>
    <row r="18" spans="1:6" x14ac:dyDescent="0.3">
      <c r="A18" s="17" t="s">
        <v>101</v>
      </c>
      <c r="C18" s="178">
        <v>0</v>
      </c>
      <c r="F18" s="175">
        <f t="shared" si="0"/>
        <v>0</v>
      </c>
    </row>
    <row r="19" spans="1:6" x14ac:dyDescent="0.3">
      <c r="A19" s="17" t="s">
        <v>94</v>
      </c>
      <c r="C19" s="179">
        <f>SUM(C12:C18)</f>
        <v>39</v>
      </c>
      <c r="F19" s="29">
        <f>SUM(F12:F18)</f>
        <v>1.625</v>
      </c>
    </row>
    <row r="20" spans="1:6" x14ac:dyDescent="0.3">
      <c r="A20" s="28"/>
      <c r="C20" s="29"/>
      <c r="F20" s="29"/>
    </row>
    <row r="22" spans="1:6" s="15" customFormat="1" ht="18.5" x14ac:dyDescent="0.45">
      <c r="A22" s="21" t="s">
        <v>109</v>
      </c>
      <c r="C22" s="261" t="s">
        <v>108</v>
      </c>
      <c r="F22" s="261" t="s">
        <v>107</v>
      </c>
    </row>
    <row r="23" spans="1:6" x14ac:dyDescent="0.3">
      <c r="C23" s="22"/>
      <c r="F23" s="22"/>
    </row>
    <row r="24" spans="1:6" x14ac:dyDescent="0.3">
      <c r="A24" s="17" t="s">
        <v>92</v>
      </c>
      <c r="C24" s="23">
        <v>5</v>
      </c>
      <c r="F24" s="24">
        <f>C24</f>
        <v>5</v>
      </c>
    </row>
    <row r="25" spans="1:6" x14ac:dyDescent="0.3">
      <c r="A25" s="25" t="s">
        <v>93</v>
      </c>
      <c r="C25" s="176">
        <v>0.32500000000000001</v>
      </c>
      <c r="F25" s="181">
        <f>C25*24</f>
        <v>7.8000000000000007</v>
      </c>
    </row>
    <row r="26" spans="1:6" x14ac:dyDescent="0.3">
      <c r="A26" s="17" t="s">
        <v>94</v>
      </c>
      <c r="C26" s="29">
        <f>C25*C24</f>
        <v>1.625</v>
      </c>
      <c r="F26" s="179">
        <f>F25*F24</f>
        <v>39</v>
      </c>
    </row>
    <row r="27" spans="1:6" x14ac:dyDescent="0.3">
      <c r="C27" s="177"/>
      <c r="F27" s="180"/>
    </row>
    <row r="28" spans="1:6" x14ac:dyDescent="0.3">
      <c r="A28" s="17" t="s">
        <v>95</v>
      </c>
      <c r="C28" s="176">
        <v>0.32500000000000001</v>
      </c>
      <c r="F28" s="181">
        <f t="shared" ref="F28:F34" si="1">C28*24</f>
        <v>7.8000000000000007</v>
      </c>
    </row>
    <row r="29" spans="1:6" x14ac:dyDescent="0.3">
      <c r="A29" s="17" t="s">
        <v>96</v>
      </c>
      <c r="C29" s="176">
        <v>0.32500000000000001</v>
      </c>
      <c r="F29" s="181">
        <f t="shared" si="1"/>
        <v>7.8000000000000007</v>
      </c>
    </row>
    <row r="30" spans="1:6" x14ac:dyDescent="0.3">
      <c r="A30" s="17" t="s">
        <v>97</v>
      </c>
      <c r="C30" s="176">
        <v>0.32500000000000001</v>
      </c>
      <c r="F30" s="181">
        <f t="shared" si="1"/>
        <v>7.8000000000000007</v>
      </c>
    </row>
    <row r="31" spans="1:6" x14ac:dyDescent="0.3">
      <c r="A31" s="17" t="s">
        <v>98</v>
      </c>
      <c r="C31" s="176">
        <v>0.32500000000000001</v>
      </c>
      <c r="F31" s="181">
        <f t="shared" si="1"/>
        <v>7.8000000000000007</v>
      </c>
    </row>
    <row r="32" spans="1:6" x14ac:dyDescent="0.3">
      <c r="A32" s="17" t="s">
        <v>99</v>
      </c>
      <c r="C32" s="176">
        <v>0.32500000000000001</v>
      </c>
      <c r="F32" s="181">
        <f t="shared" si="1"/>
        <v>7.8000000000000007</v>
      </c>
    </row>
    <row r="33" spans="1:6" x14ac:dyDescent="0.3">
      <c r="A33" s="17" t="s">
        <v>100</v>
      </c>
      <c r="C33" s="176">
        <v>0</v>
      </c>
      <c r="F33" s="181">
        <f t="shared" si="1"/>
        <v>0</v>
      </c>
    </row>
    <row r="34" spans="1:6" x14ac:dyDescent="0.3">
      <c r="A34" s="17" t="s">
        <v>101</v>
      </c>
      <c r="C34" s="176">
        <v>0</v>
      </c>
      <c r="F34" s="181">
        <f t="shared" si="1"/>
        <v>0</v>
      </c>
    </row>
    <row r="35" spans="1:6" x14ac:dyDescent="0.3">
      <c r="A35" s="17" t="s">
        <v>94</v>
      </c>
      <c r="C35" s="29">
        <f>SUM(C28:C34)</f>
        <v>1.625</v>
      </c>
      <c r="F35" s="179">
        <f>SUM(F28:F34)</f>
        <v>39</v>
      </c>
    </row>
    <row r="36" spans="1:6" x14ac:dyDescent="0.3">
      <c r="A36" s="28"/>
      <c r="C36" s="29"/>
      <c r="F36" s="29"/>
    </row>
  </sheetData>
  <sheetProtection sheet="1" selectLockedCells="1"/>
  <mergeCells count="1">
    <mergeCell ref="A1:F1"/>
  </mergeCells>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9" tint="0.39997558519241921"/>
  </sheetPr>
  <dimension ref="A1:G45"/>
  <sheetViews>
    <sheetView showGridLines="0" zoomScale="70" zoomScaleNormal="70" workbookViewId="0">
      <pane xSplit="2" ySplit="3" topLeftCell="C17" activePane="bottomRight" state="frozen"/>
      <selection pane="topRight" activeCell="C1" sqref="C1"/>
      <selection pane="bottomLeft" activeCell="A4" sqref="A4"/>
      <selection pane="bottomRight" activeCell="G41" sqref="G41"/>
    </sheetView>
  </sheetViews>
  <sheetFormatPr baseColWidth="10" defaultColWidth="11.453125" defaultRowHeight="14.5" x14ac:dyDescent="0.35"/>
  <cols>
    <col min="1" max="1" width="11.453125" style="121"/>
    <col min="2" max="2" width="24.26953125" style="131" customWidth="1"/>
    <col min="3" max="3" width="113.81640625" style="131" customWidth="1"/>
    <col min="4" max="4" width="20.7265625" style="132" customWidth="1"/>
    <col min="5" max="5" width="22.54296875" style="132" customWidth="1"/>
    <col min="6" max="6" width="30.7265625" style="132" customWidth="1"/>
    <col min="7" max="7" width="39.26953125" style="132" customWidth="1"/>
    <col min="8" max="8" width="39.26953125" style="121" customWidth="1"/>
    <col min="9" max="16384" width="11.453125" style="121"/>
  </cols>
  <sheetData>
    <row r="1" spans="1:7" s="116" customFormat="1" ht="18.5" x14ac:dyDescent="0.35">
      <c r="A1" s="397" t="s">
        <v>186</v>
      </c>
      <c r="B1" s="397"/>
      <c r="C1" s="397"/>
      <c r="D1" s="397"/>
      <c r="E1" s="397"/>
      <c r="F1" s="397"/>
      <c r="G1" s="397"/>
    </row>
    <row r="3" spans="1:7" s="117" customFormat="1" ht="16" thickBot="1" x14ac:dyDescent="0.4">
      <c r="B3" s="118" t="s">
        <v>222</v>
      </c>
      <c r="C3" s="118" t="s">
        <v>223</v>
      </c>
      <c r="D3" s="398" t="s">
        <v>188</v>
      </c>
      <c r="E3" s="398"/>
      <c r="F3" s="118" t="s">
        <v>168</v>
      </c>
      <c r="G3" s="118" t="s">
        <v>185</v>
      </c>
    </row>
    <row r="4" spans="1:7" x14ac:dyDescent="0.35">
      <c r="A4" s="374" t="s">
        <v>34</v>
      </c>
      <c r="B4" s="138" t="s">
        <v>247</v>
      </c>
      <c r="C4" s="134" t="s">
        <v>255</v>
      </c>
      <c r="D4" s="377" t="s">
        <v>250</v>
      </c>
      <c r="E4" s="378"/>
      <c r="F4" s="119" t="s">
        <v>34</v>
      </c>
      <c r="G4" s="120" t="s">
        <v>237</v>
      </c>
    </row>
    <row r="5" spans="1:7" ht="15" customHeight="1" x14ac:dyDescent="0.35">
      <c r="A5" s="375"/>
      <c r="B5" s="371" t="s">
        <v>245</v>
      </c>
      <c r="C5" s="135" t="s">
        <v>248</v>
      </c>
      <c r="D5" s="372" t="s">
        <v>249</v>
      </c>
      <c r="E5" s="373"/>
      <c r="F5" s="122" t="s">
        <v>34</v>
      </c>
      <c r="G5" s="123" t="s">
        <v>237</v>
      </c>
    </row>
    <row r="6" spans="1:7" x14ac:dyDescent="0.35">
      <c r="A6" s="375"/>
      <c r="B6" s="371"/>
      <c r="C6" s="135" t="s">
        <v>251</v>
      </c>
      <c r="D6" s="372" t="s">
        <v>252</v>
      </c>
      <c r="E6" s="373"/>
      <c r="F6" s="122" t="s">
        <v>34</v>
      </c>
      <c r="G6" s="123" t="s">
        <v>237</v>
      </c>
    </row>
    <row r="7" spans="1:7" ht="15" thickBot="1" x14ac:dyDescent="0.4">
      <c r="A7" s="376"/>
      <c r="B7" s="139" t="s">
        <v>246</v>
      </c>
      <c r="C7" s="136" t="s">
        <v>254</v>
      </c>
      <c r="D7" s="401" t="s">
        <v>253</v>
      </c>
      <c r="E7" s="402"/>
      <c r="F7" s="124" t="s">
        <v>243</v>
      </c>
      <c r="G7" s="125" t="s">
        <v>246</v>
      </c>
    </row>
    <row r="8" spans="1:7" ht="38.15" customHeight="1" x14ac:dyDescent="0.35">
      <c r="A8" s="403" t="s">
        <v>221</v>
      </c>
      <c r="B8" s="379" t="s">
        <v>212</v>
      </c>
      <c r="C8" s="134" t="s">
        <v>354</v>
      </c>
      <c r="D8" s="377" t="s">
        <v>187</v>
      </c>
      <c r="E8" s="378"/>
      <c r="F8" s="119" t="s">
        <v>41</v>
      </c>
      <c r="G8" s="120" t="s">
        <v>260</v>
      </c>
    </row>
    <row r="9" spans="1:7" ht="38.15" customHeight="1" thickBot="1" x14ac:dyDescent="0.4">
      <c r="A9" s="404"/>
      <c r="B9" s="380"/>
      <c r="C9" s="137" t="s">
        <v>355</v>
      </c>
      <c r="D9" s="392" t="s">
        <v>187</v>
      </c>
      <c r="E9" s="393"/>
      <c r="F9" s="126" t="s">
        <v>41</v>
      </c>
      <c r="G9" s="125" t="s">
        <v>260</v>
      </c>
    </row>
    <row r="10" spans="1:7" ht="29" x14ac:dyDescent="0.35">
      <c r="A10" s="404"/>
      <c r="B10" s="381" t="s">
        <v>213</v>
      </c>
      <c r="C10" s="134" t="s">
        <v>356</v>
      </c>
      <c r="D10" s="377" t="s">
        <v>189</v>
      </c>
      <c r="E10" s="378"/>
      <c r="F10" s="119" t="s">
        <v>41</v>
      </c>
      <c r="G10" s="120" t="s">
        <v>261</v>
      </c>
    </row>
    <row r="11" spans="1:7" x14ac:dyDescent="0.35">
      <c r="A11" s="404"/>
      <c r="B11" s="382"/>
      <c r="C11" s="135" t="s">
        <v>357</v>
      </c>
      <c r="D11" s="372" t="s">
        <v>189</v>
      </c>
      <c r="E11" s="373"/>
      <c r="F11" s="122" t="s">
        <v>41</v>
      </c>
      <c r="G11" s="123" t="s">
        <v>262</v>
      </c>
    </row>
    <row r="12" spans="1:7" ht="15" thickBot="1" x14ac:dyDescent="0.4">
      <c r="A12" s="404"/>
      <c r="B12" s="383"/>
      <c r="C12" s="137" t="s">
        <v>190</v>
      </c>
      <c r="D12" s="392" t="s">
        <v>189</v>
      </c>
      <c r="E12" s="393"/>
      <c r="F12" s="126" t="s">
        <v>41</v>
      </c>
      <c r="G12" s="127" t="s">
        <v>263</v>
      </c>
    </row>
    <row r="13" spans="1:7" ht="15" thickBot="1" x14ac:dyDescent="0.4">
      <c r="A13" s="404"/>
      <c r="B13" s="140" t="s">
        <v>214</v>
      </c>
      <c r="C13" s="133" t="s">
        <v>191</v>
      </c>
      <c r="D13" s="384" t="s">
        <v>187</v>
      </c>
      <c r="E13" s="385"/>
      <c r="F13" s="128" t="s">
        <v>41</v>
      </c>
      <c r="G13" s="129" t="s">
        <v>192</v>
      </c>
    </row>
    <row r="14" spans="1:7" x14ac:dyDescent="0.35">
      <c r="A14" s="404"/>
      <c r="B14" s="379" t="s">
        <v>215</v>
      </c>
      <c r="C14" s="134" t="s">
        <v>193</v>
      </c>
      <c r="D14" s="377" t="s">
        <v>187</v>
      </c>
      <c r="E14" s="378"/>
      <c r="F14" s="119" t="s">
        <v>41</v>
      </c>
      <c r="G14" s="120" t="s">
        <v>194</v>
      </c>
    </row>
    <row r="15" spans="1:7" x14ac:dyDescent="0.35">
      <c r="A15" s="404"/>
      <c r="B15" s="371"/>
      <c r="C15" s="135" t="s">
        <v>195</v>
      </c>
      <c r="D15" s="372" t="s">
        <v>187</v>
      </c>
      <c r="E15" s="373"/>
      <c r="F15" s="122" t="s">
        <v>41</v>
      </c>
      <c r="G15" s="123" t="s">
        <v>194</v>
      </c>
    </row>
    <row r="16" spans="1:7" ht="15" thickBot="1" x14ac:dyDescent="0.4">
      <c r="A16" s="404"/>
      <c r="B16" s="380"/>
      <c r="C16" s="137" t="s">
        <v>196</v>
      </c>
      <c r="D16" s="392" t="s">
        <v>187</v>
      </c>
      <c r="E16" s="393"/>
      <c r="F16" s="126" t="s">
        <v>41</v>
      </c>
      <c r="G16" s="127" t="s">
        <v>194</v>
      </c>
    </row>
    <row r="17" spans="1:7" ht="33" customHeight="1" x14ac:dyDescent="0.35">
      <c r="A17" s="404"/>
      <c r="B17" s="379" t="s">
        <v>216</v>
      </c>
      <c r="C17" s="134" t="s">
        <v>358</v>
      </c>
      <c r="D17" s="119" t="s">
        <v>187</v>
      </c>
      <c r="E17" s="386" t="s">
        <v>210</v>
      </c>
      <c r="F17" s="119" t="s">
        <v>41</v>
      </c>
      <c r="G17" s="120" t="s">
        <v>197</v>
      </c>
    </row>
    <row r="18" spans="1:7" ht="38.5" customHeight="1" x14ac:dyDescent="0.35">
      <c r="A18" s="404"/>
      <c r="B18" s="371"/>
      <c r="C18" s="135" t="s">
        <v>359</v>
      </c>
      <c r="D18" s="122" t="s">
        <v>198</v>
      </c>
      <c r="E18" s="387"/>
      <c r="F18" s="122" t="s">
        <v>41</v>
      </c>
      <c r="G18" s="123" t="s">
        <v>199</v>
      </c>
    </row>
    <row r="19" spans="1:7" ht="29.5" thickBot="1" x14ac:dyDescent="0.4">
      <c r="A19" s="404"/>
      <c r="B19" s="380"/>
      <c r="C19" s="137" t="s">
        <v>217</v>
      </c>
      <c r="D19" s="126" t="s">
        <v>198</v>
      </c>
      <c r="E19" s="388"/>
      <c r="F19" s="126" t="s">
        <v>41</v>
      </c>
      <c r="G19" s="127" t="s">
        <v>200</v>
      </c>
    </row>
    <row r="20" spans="1:7" ht="75" customHeight="1" thickBot="1" x14ac:dyDescent="0.4">
      <c r="A20" s="404"/>
      <c r="B20" s="140" t="s">
        <v>201</v>
      </c>
      <c r="C20" s="133" t="s">
        <v>360</v>
      </c>
      <c r="D20" s="384" t="s">
        <v>203</v>
      </c>
      <c r="E20" s="385"/>
      <c r="F20" s="128" t="s">
        <v>237</v>
      </c>
      <c r="G20" s="129" t="s">
        <v>202</v>
      </c>
    </row>
    <row r="21" spans="1:7" x14ac:dyDescent="0.35">
      <c r="A21" s="404"/>
      <c r="B21" s="381" t="s">
        <v>219</v>
      </c>
      <c r="C21" s="134" t="s">
        <v>361</v>
      </c>
      <c r="D21" s="389"/>
      <c r="E21" s="394" t="s">
        <v>211</v>
      </c>
      <c r="F21" s="119" t="s">
        <v>41</v>
      </c>
      <c r="G21" s="120" t="s">
        <v>204</v>
      </c>
    </row>
    <row r="22" spans="1:7" x14ac:dyDescent="0.35">
      <c r="A22" s="404"/>
      <c r="B22" s="382"/>
      <c r="C22" s="135" t="s">
        <v>207</v>
      </c>
      <c r="D22" s="390"/>
      <c r="E22" s="395"/>
      <c r="F22" s="122" t="s">
        <v>41</v>
      </c>
      <c r="G22" s="123" t="s">
        <v>205</v>
      </c>
    </row>
    <row r="23" spans="1:7" x14ac:dyDescent="0.35">
      <c r="A23" s="404"/>
      <c r="B23" s="382"/>
      <c r="C23" s="135" t="s">
        <v>208</v>
      </c>
      <c r="D23" s="390"/>
      <c r="E23" s="395"/>
      <c r="F23" s="122" t="s">
        <v>41</v>
      </c>
      <c r="G23" s="123" t="s">
        <v>206</v>
      </c>
    </row>
    <row r="24" spans="1:7" x14ac:dyDescent="0.35">
      <c r="A24" s="404"/>
      <c r="B24" s="382"/>
      <c r="C24" s="135" t="s">
        <v>227</v>
      </c>
      <c r="D24" s="390"/>
      <c r="E24" s="395"/>
      <c r="F24" s="122" t="s">
        <v>41</v>
      </c>
      <c r="G24" s="123" t="s">
        <v>228</v>
      </c>
    </row>
    <row r="25" spans="1:7" x14ac:dyDescent="0.35">
      <c r="A25" s="404"/>
      <c r="B25" s="382"/>
      <c r="C25" s="135" t="s">
        <v>226</v>
      </c>
      <c r="D25" s="390"/>
      <c r="E25" s="395"/>
      <c r="F25" s="122" t="s">
        <v>41</v>
      </c>
      <c r="G25" s="123" t="s">
        <v>229</v>
      </c>
    </row>
    <row r="26" spans="1:7" ht="15" thickBot="1" x14ac:dyDescent="0.4">
      <c r="A26" s="404"/>
      <c r="B26" s="383"/>
      <c r="C26" s="137" t="s">
        <v>209</v>
      </c>
      <c r="D26" s="391"/>
      <c r="E26" s="396"/>
      <c r="F26" s="126" t="s">
        <v>41</v>
      </c>
      <c r="G26" s="127" t="s">
        <v>264</v>
      </c>
    </row>
    <row r="27" spans="1:7" ht="15" thickBot="1" x14ac:dyDescent="0.4">
      <c r="A27" s="404"/>
      <c r="B27" s="140" t="s">
        <v>218</v>
      </c>
      <c r="C27" s="133" t="s">
        <v>362</v>
      </c>
      <c r="D27" s="130"/>
      <c r="E27" s="128" t="s">
        <v>187</v>
      </c>
      <c r="F27" s="128" t="s">
        <v>41</v>
      </c>
      <c r="G27" s="129" t="s">
        <v>218</v>
      </c>
    </row>
    <row r="28" spans="1:7" ht="29" x14ac:dyDescent="0.35">
      <c r="A28" s="404"/>
      <c r="B28" s="379" t="s">
        <v>220</v>
      </c>
      <c r="C28" s="134" t="s">
        <v>368</v>
      </c>
      <c r="D28" s="389" t="s">
        <v>369</v>
      </c>
      <c r="E28" s="119" t="s">
        <v>187</v>
      </c>
      <c r="F28" s="119" t="s">
        <v>41</v>
      </c>
      <c r="G28" s="120" t="s">
        <v>265</v>
      </c>
    </row>
    <row r="29" spans="1:7" x14ac:dyDescent="0.35">
      <c r="A29" s="404"/>
      <c r="B29" s="371"/>
      <c r="C29" s="135" t="s">
        <v>364</v>
      </c>
      <c r="D29" s="390"/>
      <c r="E29" s="122" t="s">
        <v>187</v>
      </c>
      <c r="F29" s="122" t="s">
        <v>41</v>
      </c>
      <c r="G29" s="123" t="s">
        <v>266</v>
      </c>
    </row>
    <row r="30" spans="1:7" x14ac:dyDescent="0.35">
      <c r="A30" s="404"/>
      <c r="B30" s="371"/>
      <c r="C30" s="135" t="s">
        <v>363</v>
      </c>
      <c r="D30" s="390"/>
      <c r="E30" s="122" t="s">
        <v>187</v>
      </c>
      <c r="F30" s="122" t="s">
        <v>41</v>
      </c>
      <c r="G30" s="123" t="s">
        <v>267</v>
      </c>
    </row>
    <row r="31" spans="1:7" x14ac:dyDescent="0.35">
      <c r="A31" s="404"/>
      <c r="B31" s="371"/>
      <c r="C31" s="135" t="s">
        <v>365</v>
      </c>
      <c r="D31" s="390"/>
      <c r="E31" s="122" t="s">
        <v>187</v>
      </c>
      <c r="F31" s="122" t="s">
        <v>41</v>
      </c>
      <c r="G31" s="123" t="s">
        <v>268</v>
      </c>
    </row>
    <row r="32" spans="1:7" x14ac:dyDescent="0.35">
      <c r="A32" s="404"/>
      <c r="B32" s="371"/>
      <c r="C32" s="135" t="s">
        <v>366</v>
      </c>
      <c r="D32" s="390"/>
      <c r="E32" s="122" t="s">
        <v>187</v>
      </c>
      <c r="F32" s="122" t="s">
        <v>41</v>
      </c>
      <c r="G32" s="123" t="s">
        <v>269</v>
      </c>
    </row>
    <row r="33" spans="1:7" ht="15" thickBot="1" x14ac:dyDescent="0.4">
      <c r="A33" s="404"/>
      <c r="B33" s="380"/>
      <c r="C33" s="137" t="s">
        <v>367</v>
      </c>
      <c r="D33" s="391"/>
      <c r="E33" s="126" t="s">
        <v>187</v>
      </c>
      <c r="F33" s="126" t="s">
        <v>41</v>
      </c>
      <c r="G33" s="127" t="s">
        <v>270</v>
      </c>
    </row>
    <row r="34" spans="1:7" ht="30" customHeight="1" thickBot="1" x14ac:dyDescent="0.4">
      <c r="A34" s="400"/>
      <c r="B34" s="140" t="s">
        <v>224</v>
      </c>
      <c r="C34" s="133" t="s">
        <v>370</v>
      </c>
      <c r="D34" s="369"/>
      <c r="E34" s="370"/>
      <c r="F34" s="128" t="s">
        <v>39</v>
      </c>
      <c r="G34" s="129" t="s">
        <v>237</v>
      </c>
    </row>
    <row r="35" spans="1:7" ht="15" customHeight="1" x14ac:dyDescent="0.35">
      <c r="A35" s="399"/>
      <c r="B35" s="381" t="s">
        <v>225</v>
      </c>
      <c r="C35" s="406" t="s">
        <v>371</v>
      </c>
      <c r="D35" s="367"/>
      <c r="E35" s="366"/>
      <c r="F35" s="362" t="s">
        <v>38</v>
      </c>
      <c r="G35" s="120" t="s">
        <v>237</v>
      </c>
    </row>
    <row r="36" spans="1:7" ht="10" customHeight="1" x14ac:dyDescent="0.35">
      <c r="A36" s="405"/>
      <c r="B36" s="382"/>
      <c r="C36" s="407"/>
      <c r="D36" s="367"/>
      <c r="E36" s="366"/>
      <c r="F36" s="361" t="s">
        <v>38</v>
      </c>
      <c r="G36" s="123" t="s">
        <v>237</v>
      </c>
    </row>
    <row r="37" spans="1:7" ht="15" hidden="1" customHeight="1" x14ac:dyDescent="0.35">
      <c r="A37" s="405"/>
      <c r="B37" s="382"/>
      <c r="C37" s="407"/>
      <c r="D37" s="367"/>
      <c r="E37" s="366"/>
      <c r="F37" s="361" t="s">
        <v>38</v>
      </c>
      <c r="G37" s="123" t="s">
        <v>237</v>
      </c>
    </row>
    <row r="38" spans="1:7" ht="37" customHeight="1" x14ac:dyDescent="0.35">
      <c r="A38" s="405"/>
      <c r="B38" s="382"/>
      <c r="C38" s="407"/>
      <c r="D38" s="367" t="s">
        <v>198</v>
      </c>
      <c r="E38" s="366"/>
      <c r="F38" s="361" t="s">
        <v>38</v>
      </c>
      <c r="G38" s="123" t="s">
        <v>237</v>
      </c>
    </row>
    <row r="39" spans="1:7" ht="15" customHeight="1" x14ac:dyDescent="0.35">
      <c r="A39" s="405"/>
      <c r="B39" s="382"/>
      <c r="C39" s="407"/>
      <c r="D39" s="367"/>
      <c r="E39" s="366"/>
      <c r="F39" s="361" t="s">
        <v>38</v>
      </c>
      <c r="G39" s="123" t="s">
        <v>237</v>
      </c>
    </row>
    <row r="40" spans="1:7" ht="15" customHeight="1" thickBot="1" x14ac:dyDescent="0.4">
      <c r="A40" s="405"/>
      <c r="B40" s="383"/>
      <c r="C40" s="408"/>
      <c r="D40" s="364"/>
      <c r="E40" s="365"/>
      <c r="F40" s="363" t="s">
        <v>38</v>
      </c>
      <c r="G40" s="127" t="s">
        <v>237</v>
      </c>
    </row>
    <row r="41" spans="1:7" ht="30" customHeight="1" thickBot="1" x14ac:dyDescent="0.4">
      <c r="A41" s="405"/>
      <c r="B41" s="140"/>
      <c r="C41" s="133"/>
      <c r="D41" s="401"/>
      <c r="E41" s="402"/>
      <c r="F41" s="128"/>
      <c r="G41" s="129"/>
    </row>
    <row r="42" spans="1:7" ht="30" customHeight="1" thickBot="1" x14ac:dyDescent="0.4">
      <c r="A42" s="399" t="s">
        <v>236</v>
      </c>
      <c r="B42" s="140" t="s">
        <v>233</v>
      </c>
      <c r="C42" s="133" t="s">
        <v>232</v>
      </c>
      <c r="D42" s="384" t="s">
        <v>235</v>
      </c>
      <c r="E42" s="385"/>
      <c r="F42" s="128" t="s">
        <v>41</v>
      </c>
      <c r="G42" s="129" t="s">
        <v>256</v>
      </c>
    </row>
    <row r="43" spans="1:7" ht="73" thickBot="1" x14ac:dyDescent="0.4">
      <c r="A43" s="400"/>
      <c r="B43" s="140" t="s">
        <v>230</v>
      </c>
      <c r="C43" s="133" t="s">
        <v>231</v>
      </c>
      <c r="D43" s="384" t="s">
        <v>234</v>
      </c>
      <c r="E43" s="385"/>
      <c r="F43" s="128" t="s">
        <v>41</v>
      </c>
      <c r="G43" s="129" t="s">
        <v>230</v>
      </c>
    </row>
    <row r="44" spans="1:7" ht="30" customHeight="1" thickBot="1" x14ac:dyDescent="0.4">
      <c r="A44" s="374" t="s">
        <v>238</v>
      </c>
      <c r="B44" s="140" t="s">
        <v>239</v>
      </c>
      <c r="C44" s="133" t="s">
        <v>232</v>
      </c>
      <c r="D44" s="384" t="s">
        <v>242</v>
      </c>
      <c r="E44" s="385"/>
      <c r="F44" s="128" t="s">
        <v>243</v>
      </c>
      <c r="G44" s="129" t="s">
        <v>244</v>
      </c>
    </row>
    <row r="45" spans="1:7" ht="29.5" thickBot="1" x14ac:dyDescent="0.4">
      <c r="A45" s="376"/>
      <c r="B45" s="140" t="s">
        <v>240</v>
      </c>
      <c r="C45" s="133" t="s">
        <v>241</v>
      </c>
      <c r="D45" s="384"/>
      <c r="E45" s="385"/>
      <c r="F45" s="128"/>
      <c r="G45" s="129"/>
    </row>
  </sheetData>
  <sheetProtection selectLockedCells="1"/>
  <mergeCells count="40">
    <mergeCell ref="A42:A43"/>
    <mergeCell ref="A44:A45"/>
    <mergeCell ref="D44:E44"/>
    <mergeCell ref="D45:E45"/>
    <mergeCell ref="D7:E7"/>
    <mergeCell ref="D42:E42"/>
    <mergeCell ref="D43:E43"/>
    <mergeCell ref="A8:A34"/>
    <mergeCell ref="A35:A41"/>
    <mergeCell ref="B35:B40"/>
    <mergeCell ref="C35:C40"/>
    <mergeCell ref="D41:E41"/>
    <mergeCell ref="B28:B33"/>
    <mergeCell ref="D16:E16"/>
    <mergeCell ref="D14:E14"/>
    <mergeCell ref="D15:E15"/>
    <mergeCell ref="D21:D26"/>
    <mergeCell ref="E21:E26"/>
    <mergeCell ref="A1:G1"/>
    <mergeCell ref="D3:E3"/>
    <mergeCell ref="D8:E8"/>
    <mergeCell ref="D9:E9"/>
    <mergeCell ref="D10:E10"/>
    <mergeCell ref="D11:E11"/>
    <mergeCell ref="D34:E34"/>
    <mergeCell ref="B5:B6"/>
    <mergeCell ref="D5:E5"/>
    <mergeCell ref="A4:A7"/>
    <mergeCell ref="D4:E4"/>
    <mergeCell ref="D6:E6"/>
    <mergeCell ref="B8:B9"/>
    <mergeCell ref="B10:B12"/>
    <mergeCell ref="B14:B16"/>
    <mergeCell ref="B17:B19"/>
    <mergeCell ref="B21:B26"/>
    <mergeCell ref="D20:E20"/>
    <mergeCell ref="E17:E19"/>
    <mergeCell ref="D28:D33"/>
    <mergeCell ref="D12:E12"/>
    <mergeCell ref="D13:E1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tabColor rgb="FFC00000"/>
    <pageSetUpPr fitToPage="1"/>
  </sheetPr>
  <dimension ref="A1:M108"/>
  <sheetViews>
    <sheetView showGridLines="0" zoomScaleNormal="100" workbookViewId="0">
      <pane ySplit="6" topLeftCell="A73" activePane="bottomLeft" state="frozen"/>
      <selection activeCell="G44" sqref="G44:H44"/>
      <selection pane="bottomLeft" activeCell="G46" sqref="G46"/>
    </sheetView>
  </sheetViews>
  <sheetFormatPr baseColWidth="10" defaultColWidth="11.453125" defaultRowHeight="14.5" x14ac:dyDescent="0.35"/>
  <cols>
    <col min="1" max="1" width="33.26953125" style="12" customWidth="1"/>
    <col min="2" max="2" width="6" style="12" customWidth="1"/>
    <col min="3" max="4" width="20.26953125" style="3" customWidth="1"/>
    <col min="5" max="5" width="2.7265625" style="3" customWidth="1"/>
    <col min="6" max="6" width="28.26953125" style="13" customWidth="1"/>
    <col min="7" max="7" width="28" style="13" bestFit="1" customWidth="1"/>
    <col min="8" max="8" width="2.7265625" style="2" customWidth="1"/>
    <col min="9" max="9" width="8" style="2" bestFit="1" customWidth="1"/>
    <col min="10" max="10" width="2.7265625" style="2" customWidth="1"/>
    <col min="11" max="11" width="25.26953125" style="3" bestFit="1" customWidth="1"/>
    <col min="12" max="12" width="20.54296875" style="3" bestFit="1" customWidth="1"/>
    <col min="13" max="13" width="1.7265625" style="3" bestFit="1" customWidth="1"/>
    <col min="14" max="16384" width="11.453125" style="3"/>
  </cols>
  <sheetData>
    <row r="1" spans="1:13" x14ac:dyDescent="0.35">
      <c r="A1" s="412" t="s">
        <v>25</v>
      </c>
      <c r="B1" s="412"/>
      <c r="C1" s="412"/>
      <c r="D1" s="412"/>
      <c r="E1" s="412"/>
      <c r="F1" s="412"/>
      <c r="G1" s="412"/>
      <c r="H1" s="412"/>
      <c r="I1" s="412"/>
    </row>
    <row r="2" spans="1:13" x14ac:dyDescent="0.35">
      <c r="A2" s="412"/>
      <c r="B2" s="412"/>
      <c r="C2" s="412"/>
      <c r="D2" s="412"/>
      <c r="E2" s="412"/>
      <c r="F2" s="412"/>
      <c r="G2" s="412"/>
      <c r="H2" s="412"/>
      <c r="I2" s="412"/>
    </row>
    <row r="3" spans="1:13" x14ac:dyDescent="0.35">
      <c r="A3" s="412"/>
      <c r="B3" s="412"/>
      <c r="C3" s="412"/>
      <c r="D3" s="412"/>
      <c r="E3" s="412"/>
      <c r="F3" s="412"/>
      <c r="G3" s="412"/>
      <c r="H3" s="412"/>
      <c r="I3" s="412"/>
    </row>
    <row r="4" spans="1:13" x14ac:dyDescent="0.35">
      <c r="A4" s="412"/>
      <c r="B4" s="412"/>
      <c r="C4" s="412"/>
      <c r="D4" s="412"/>
      <c r="E4" s="412"/>
      <c r="F4" s="412"/>
      <c r="G4" s="412"/>
      <c r="H4" s="412"/>
      <c r="I4" s="412"/>
    </row>
    <row r="5" spans="1:13" x14ac:dyDescent="0.35">
      <c r="A5" s="412"/>
      <c r="B5" s="412"/>
      <c r="C5" s="412"/>
      <c r="D5" s="412"/>
      <c r="E5" s="412"/>
      <c r="F5" s="412"/>
      <c r="G5" s="412"/>
      <c r="H5" s="412"/>
      <c r="I5" s="412"/>
    </row>
    <row r="6" spans="1:13" s="4" customFormat="1" ht="15" customHeight="1" x14ac:dyDescent="0.75">
      <c r="A6" s="412"/>
      <c r="B6" s="412"/>
      <c r="C6" s="412"/>
      <c r="D6" s="412"/>
      <c r="E6" s="412"/>
      <c r="F6" s="412"/>
      <c r="G6" s="412"/>
      <c r="H6" s="412"/>
      <c r="I6" s="412"/>
      <c r="J6" s="1"/>
      <c r="K6" s="1"/>
      <c r="L6" s="1"/>
      <c r="M6" s="1"/>
    </row>
    <row r="7" spans="1:13" s="4" customFormat="1" ht="15" customHeight="1" x14ac:dyDescent="0.7">
      <c r="A7" s="5"/>
      <c r="B7" s="5"/>
      <c r="H7" s="6"/>
      <c r="I7" s="6"/>
      <c r="L7" s="3"/>
    </row>
    <row r="8" spans="1:13" s="8" customFormat="1" ht="15" customHeight="1" x14ac:dyDescent="0.35">
      <c r="A8" s="411" t="s">
        <v>26</v>
      </c>
      <c r="B8" s="411"/>
      <c r="C8" s="411"/>
      <c r="D8" s="411"/>
      <c r="E8" s="7"/>
      <c r="F8" s="411" t="s">
        <v>12</v>
      </c>
      <c r="G8" s="411"/>
      <c r="H8" s="411"/>
      <c r="I8" s="411"/>
      <c r="J8" s="7"/>
    </row>
    <row r="9" spans="1:13" s="8" customFormat="1" ht="15" customHeight="1" x14ac:dyDescent="0.3">
      <c r="A9" s="92"/>
      <c r="B9" s="92"/>
      <c r="C9" s="93"/>
      <c r="D9" s="93"/>
      <c r="E9" s="7"/>
      <c r="F9" s="413" t="s">
        <v>27</v>
      </c>
      <c r="G9" s="94">
        <v>2025</v>
      </c>
      <c r="H9" s="95"/>
      <c r="I9" s="95"/>
      <c r="J9" s="7"/>
    </row>
    <row r="10" spans="1:13" s="8" customFormat="1" ht="15" customHeight="1" x14ac:dyDescent="0.35">
      <c r="A10" s="96" t="s">
        <v>28</v>
      </c>
      <c r="B10" s="96"/>
      <c r="C10" s="409" t="s">
        <v>302</v>
      </c>
      <c r="D10" s="409"/>
      <c r="E10" s="7"/>
      <c r="F10" s="413"/>
      <c r="G10" s="113"/>
      <c r="H10" s="95"/>
      <c r="I10" s="95"/>
      <c r="J10" s="7"/>
    </row>
    <row r="11" spans="1:13" s="8" customFormat="1" ht="15" customHeight="1" x14ac:dyDescent="0.35">
      <c r="A11" s="96" t="s">
        <v>29</v>
      </c>
      <c r="B11" s="96"/>
      <c r="C11" s="409" t="s">
        <v>303</v>
      </c>
      <c r="D11" s="409"/>
      <c r="E11" s="7"/>
      <c r="F11" s="413"/>
      <c r="G11" s="113"/>
      <c r="H11" s="95"/>
      <c r="I11" s="95"/>
      <c r="J11" s="7"/>
    </row>
    <row r="12" spans="1:13" s="8" customFormat="1" ht="15" customHeight="1" x14ac:dyDescent="0.3">
      <c r="A12" s="96" t="s">
        <v>30</v>
      </c>
      <c r="B12" s="96"/>
      <c r="C12" s="409">
        <v>12345</v>
      </c>
      <c r="D12" s="409"/>
      <c r="E12" s="7"/>
      <c r="F12" s="7"/>
      <c r="G12" s="7"/>
      <c r="H12" s="7"/>
      <c r="I12" s="9"/>
      <c r="J12" s="7"/>
    </row>
    <row r="13" spans="1:13" s="8" customFormat="1" ht="15" customHeight="1" x14ac:dyDescent="0.35">
      <c r="A13" s="96" t="s">
        <v>31</v>
      </c>
      <c r="B13" s="96"/>
      <c r="C13" s="409" t="s">
        <v>297</v>
      </c>
      <c r="D13" s="409"/>
      <c r="E13" s="7"/>
      <c r="F13" s="411" t="s">
        <v>14</v>
      </c>
      <c r="G13" s="411"/>
      <c r="H13" s="411"/>
      <c r="I13" s="411"/>
      <c r="J13" s="7"/>
    </row>
    <row r="14" spans="1:13" s="8" customFormat="1" ht="15" customHeight="1" x14ac:dyDescent="0.3">
      <c r="A14" s="96"/>
      <c r="B14" s="96"/>
      <c r="C14" s="409" t="s">
        <v>298</v>
      </c>
      <c r="D14" s="409"/>
      <c r="E14" s="7"/>
      <c r="F14" s="97"/>
      <c r="G14" s="97"/>
      <c r="H14" s="98"/>
      <c r="I14" s="99"/>
      <c r="J14" s="7"/>
    </row>
    <row r="15" spans="1:13" s="8" customFormat="1" ht="15" customHeight="1" x14ac:dyDescent="0.3">
      <c r="A15" s="96"/>
      <c r="B15" s="96"/>
      <c r="C15" s="410"/>
      <c r="D15" s="410"/>
      <c r="E15" s="7"/>
      <c r="F15" s="97" t="s">
        <v>32</v>
      </c>
      <c r="G15" s="97"/>
      <c r="H15" s="98"/>
      <c r="I15" s="100"/>
      <c r="J15" s="7"/>
    </row>
    <row r="16" spans="1:13" s="8" customFormat="1" ht="15" customHeight="1" x14ac:dyDescent="0.3">
      <c r="A16" s="96" t="s">
        <v>33</v>
      </c>
      <c r="B16" s="110">
        <v>1</v>
      </c>
      <c r="C16" s="409" t="s">
        <v>342</v>
      </c>
      <c r="D16" s="409"/>
      <c r="E16" s="7"/>
      <c r="F16" s="97" t="s">
        <v>34</v>
      </c>
      <c r="G16" s="97"/>
      <c r="H16" s="98"/>
      <c r="I16" s="99"/>
      <c r="J16" s="7"/>
    </row>
    <row r="17" spans="1:10" s="8" customFormat="1" ht="15" customHeight="1" x14ac:dyDescent="0.3">
      <c r="A17" s="96" t="s">
        <v>35</v>
      </c>
      <c r="B17" s="110">
        <v>2</v>
      </c>
      <c r="C17" s="409" t="s">
        <v>343</v>
      </c>
      <c r="D17" s="409"/>
      <c r="E17" s="7"/>
      <c r="F17" s="97" t="s">
        <v>36</v>
      </c>
      <c r="G17" s="97"/>
      <c r="H17" s="98"/>
      <c r="I17" s="99"/>
      <c r="J17" s="7"/>
    </row>
    <row r="18" spans="1:10" s="8" customFormat="1" ht="15" customHeight="1" x14ac:dyDescent="0.3">
      <c r="A18" s="96" t="s">
        <v>37</v>
      </c>
      <c r="B18" s="110">
        <v>3</v>
      </c>
      <c r="C18" s="409" t="s">
        <v>344</v>
      </c>
      <c r="D18" s="409"/>
      <c r="E18" s="7"/>
      <c r="F18" s="97" t="s">
        <v>277</v>
      </c>
      <c r="G18" s="97"/>
      <c r="H18" s="98"/>
      <c r="I18" s="99"/>
      <c r="J18" s="7"/>
    </row>
    <row r="19" spans="1:10" s="8" customFormat="1" ht="15" customHeight="1" x14ac:dyDescent="0.3">
      <c r="A19" s="96"/>
      <c r="B19" s="96"/>
      <c r="C19" s="410"/>
      <c r="D19" s="410"/>
      <c r="E19" s="7"/>
      <c r="F19" s="97" t="s">
        <v>278</v>
      </c>
      <c r="G19" s="97"/>
      <c r="H19" s="98"/>
      <c r="I19" s="99"/>
      <c r="J19" s="7"/>
    </row>
    <row r="20" spans="1:10" s="8" customFormat="1" ht="15" customHeight="1" x14ac:dyDescent="0.3">
      <c r="A20" s="96"/>
      <c r="B20" s="96"/>
      <c r="C20" s="112"/>
      <c r="D20" s="112"/>
      <c r="E20" s="7"/>
      <c r="F20" s="97" t="s">
        <v>345</v>
      </c>
      <c r="G20" s="97"/>
      <c r="H20" s="98"/>
      <c r="I20" s="99"/>
      <c r="J20" s="7"/>
    </row>
    <row r="21" spans="1:10" s="8" customFormat="1" ht="15" customHeight="1" x14ac:dyDescent="0.3">
      <c r="A21" s="96"/>
      <c r="B21" s="96"/>
      <c r="C21" s="410"/>
      <c r="D21" s="410"/>
      <c r="E21" s="7"/>
      <c r="F21" s="97" t="s">
        <v>39</v>
      </c>
      <c r="G21" s="97"/>
      <c r="H21" s="98"/>
      <c r="I21" s="99"/>
      <c r="J21" s="7"/>
    </row>
    <row r="22" spans="1:10" s="8" customFormat="1" ht="15" customHeight="1" x14ac:dyDescent="0.3">
      <c r="A22" s="96"/>
      <c r="B22" s="96"/>
      <c r="C22" s="410"/>
      <c r="D22" s="410"/>
      <c r="E22" s="7"/>
      <c r="F22" s="97" t="s">
        <v>41</v>
      </c>
      <c r="G22" s="97"/>
      <c r="H22" s="98"/>
      <c r="I22" s="99"/>
      <c r="J22" s="7"/>
    </row>
    <row r="23" spans="1:10" s="8" customFormat="1" ht="15" customHeight="1" x14ac:dyDescent="0.3">
      <c r="A23" s="96" t="s">
        <v>40</v>
      </c>
      <c r="B23" s="96"/>
      <c r="C23" s="368"/>
      <c r="D23" s="112"/>
      <c r="E23" s="7"/>
      <c r="F23" s="97" t="s">
        <v>317</v>
      </c>
      <c r="G23" s="97"/>
      <c r="H23" s="98"/>
      <c r="I23" s="99"/>
      <c r="J23" s="7"/>
    </row>
    <row r="24" spans="1:10" s="8" customFormat="1" ht="15" customHeight="1" x14ac:dyDescent="0.3">
      <c r="A24" s="96"/>
      <c r="B24" s="96"/>
      <c r="C24" s="112"/>
      <c r="D24" s="112"/>
      <c r="E24" s="7"/>
      <c r="F24" s="97" t="s">
        <v>372</v>
      </c>
      <c r="G24" s="97"/>
      <c r="H24" s="98"/>
      <c r="I24" s="99"/>
      <c r="J24" s="7"/>
    </row>
    <row r="25" spans="1:10" s="8" customFormat="1" ht="15" customHeight="1" x14ac:dyDescent="0.3">
      <c r="A25" s="96" t="s">
        <v>42</v>
      </c>
      <c r="B25" s="96"/>
      <c r="C25" s="101"/>
      <c r="D25" s="96"/>
      <c r="E25" s="7"/>
      <c r="F25" s="97" t="s">
        <v>44</v>
      </c>
      <c r="G25" s="97"/>
      <c r="H25" s="98"/>
      <c r="I25" s="99"/>
      <c r="J25" s="7"/>
    </row>
    <row r="26" spans="1:10" s="8" customFormat="1" ht="15" customHeight="1" x14ac:dyDescent="0.3">
      <c r="A26" s="96"/>
      <c r="B26" s="96"/>
      <c r="C26" s="410"/>
      <c r="D26" s="410"/>
      <c r="E26" s="7"/>
      <c r="F26" s="97" t="s">
        <v>45</v>
      </c>
      <c r="G26" s="97" t="s">
        <v>46</v>
      </c>
      <c r="H26" s="98"/>
      <c r="I26" s="99"/>
      <c r="J26" s="7"/>
    </row>
    <row r="27" spans="1:10" s="8" customFormat="1" ht="15" customHeight="1" x14ac:dyDescent="0.3">
      <c r="A27" s="7"/>
      <c r="B27" s="7"/>
      <c r="C27" s="7"/>
      <c r="D27" s="7"/>
      <c r="E27" s="7"/>
      <c r="F27" s="97" t="s">
        <v>48</v>
      </c>
      <c r="G27" s="97" t="s">
        <v>49</v>
      </c>
      <c r="H27" s="98"/>
      <c r="I27" s="30">
        <v>0.32500000000000001</v>
      </c>
      <c r="J27" s="7"/>
    </row>
    <row r="28" spans="1:10" s="8" customFormat="1" ht="15" customHeight="1" x14ac:dyDescent="0.3">
      <c r="A28" s="411" t="s">
        <v>47</v>
      </c>
      <c r="B28" s="411"/>
      <c r="C28" s="411"/>
      <c r="D28" s="411"/>
      <c r="E28" s="7"/>
      <c r="F28" s="97" t="s">
        <v>50</v>
      </c>
      <c r="G28" s="97" t="s">
        <v>49</v>
      </c>
      <c r="H28" s="98"/>
      <c r="I28" s="30">
        <v>0.32500000000000001</v>
      </c>
      <c r="J28" s="7"/>
    </row>
    <row r="29" spans="1:10" s="8" customFormat="1" ht="15" customHeight="1" x14ac:dyDescent="0.3">
      <c r="A29" s="92"/>
      <c r="B29" s="92"/>
      <c r="C29" s="93"/>
      <c r="D29" s="93"/>
      <c r="E29" s="7"/>
      <c r="F29" s="97" t="s">
        <v>52</v>
      </c>
      <c r="G29" s="97" t="s">
        <v>49</v>
      </c>
      <c r="H29" s="98"/>
      <c r="I29" s="30">
        <v>0.32500000000000001</v>
      </c>
      <c r="J29" s="7"/>
    </row>
    <row r="30" spans="1:10" s="8" customFormat="1" ht="15" customHeight="1" x14ac:dyDescent="0.3">
      <c r="A30" s="96" t="s">
        <v>51</v>
      </c>
      <c r="B30" s="92"/>
      <c r="C30" s="102">
        <v>45292</v>
      </c>
      <c r="D30" s="93"/>
      <c r="E30" s="7"/>
      <c r="F30" s="97" t="s">
        <v>53</v>
      </c>
      <c r="G30" s="97" t="s">
        <v>49</v>
      </c>
      <c r="H30" s="98"/>
      <c r="I30" s="30">
        <v>0.32500000000000001</v>
      </c>
      <c r="J30" s="7"/>
    </row>
    <row r="31" spans="1:10" s="8" customFormat="1" ht="15" customHeight="1" x14ac:dyDescent="0.3">
      <c r="A31" s="92"/>
      <c r="B31" s="92"/>
      <c r="C31" s="93"/>
      <c r="D31" s="93"/>
      <c r="E31" s="7"/>
      <c r="F31" s="97" t="s">
        <v>54</v>
      </c>
      <c r="G31" s="97" t="s">
        <v>49</v>
      </c>
      <c r="H31" s="98"/>
      <c r="I31" s="30">
        <v>0.32500000000000001</v>
      </c>
      <c r="J31" s="7"/>
    </row>
    <row r="32" spans="1:10" s="10" customFormat="1" ht="15" customHeight="1" x14ac:dyDescent="0.3">
      <c r="A32" s="7"/>
      <c r="B32" s="7"/>
      <c r="C32" s="7"/>
      <c r="D32" s="7"/>
      <c r="E32" s="7"/>
      <c r="F32" s="97" t="s">
        <v>55</v>
      </c>
      <c r="G32" s="97" t="s">
        <v>56</v>
      </c>
      <c r="H32" s="98"/>
      <c r="I32" s="100"/>
      <c r="J32" s="7"/>
    </row>
    <row r="33" spans="1:13" s="10" customFormat="1" ht="15" customHeight="1" x14ac:dyDescent="0.3">
      <c r="A33" s="411" t="s">
        <v>6</v>
      </c>
      <c r="B33" s="411"/>
      <c r="C33" s="411"/>
      <c r="D33" s="411"/>
      <c r="E33" s="7"/>
      <c r="F33" s="103"/>
      <c r="G33" s="97"/>
      <c r="H33" s="98"/>
      <c r="I33" s="100"/>
      <c r="J33" s="7"/>
    </row>
    <row r="34" spans="1:13" s="10" customFormat="1" ht="15" customHeight="1" x14ac:dyDescent="0.35">
      <c r="A34" s="92"/>
      <c r="B34" s="92"/>
      <c r="C34" s="93"/>
      <c r="D34" s="93"/>
      <c r="E34" s="7"/>
      <c r="F34" s="7"/>
      <c r="G34" s="7"/>
      <c r="H34" s="7"/>
      <c r="I34" s="3"/>
      <c r="J34" s="7"/>
    </row>
    <row r="35" spans="1:13" s="10" customFormat="1" ht="15" customHeight="1" x14ac:dyDescent="0.3">
      <c r="A35" s="92" t="s">
        <v>57</v>
      </c>
      <c r="B35" s="263"/>
      <c r="C35" s="264">
        <f>SUM(C37:C39)</f>
        <v>0</v>
      </c>
      <c r="D35" s="104" t="s">
        <v>292</v>
      </c>
      <c r="E35" s="7"/>
      <c r="F35" s="411" t="s">
        <v>15</v>
      </c>
      <c r="G35" s="411"/>
      <c r="H35" s="411"/>
      <c r="I35" s="411"/>
      <c r="J35" s="7"/>
    </row>
    <row r="36" spans="1:13" s="10" customFormat="1" ht="15" customHeight="1" x14ac:dyDescent="0.3">
      <c r="A36" s="92"/>
      <c r="B36" s="263"/>
      <c r="C36" s="264"/>
      <c r="D36" s="104"/>
      <c r="E36" s="7"/>
      <c r="F36" s="103"/>
      <c r="G36" s="97"/>
      <c r="H36" s="98"/>
      <c r="I36" s="100"/>
      <c r="J36" s="7"/>
    </row>
    <row r="37" spans="1:13" s="10" customFormat="1" ht="15" customHeight="1" x14ac:dyDescent="0.3">
      <c r="A37" s="92" t="s">
        <v>57</v>
      </c>
      <c r="B37" s="92" t="s">
        <v>274</v>
      </c>
      <c r="C37" s="167">
        <v>0</v>
      </c>
      <c r="D37" s="104" t="s">
        <v>292</v>
      </c>
      <c r="E37" s="7"/>
      <c r="F37" s="103">
        <f>DATE($G$9,12,24)</f>
        <v>46015</v>
      </c>
      <c r="G37" s="97" t="s">
        <v>58</v>
      </c>
      <c r="H37" s="97"/>
      <c r="I37" s="30">
        <v>0</v>
      </c>
      <c r="J37" s="7"/>
    </row>
    <row r="38" spans="1:13" ht="15" customHeight="1" x14ac:dyDescent="0.35">
      <c r="A38" s="92" t="s">
        <v>57</v>
      </c>
      <c r="B38" s="92" t="s">
        <v>275</v>
      </c>
      <c r="C38" s="26">
        <v>0</v>
      </c>
      <c r="D38" s="104" t="s">
        <v>292</v>
      </c>
      <c r="E38" s="11"/>
      <c r="F38" s="103">
        <f>DATE($G$9,12,25)</f>
        <v>46016</v>
      </c>
      <c r="G38" s="97" t="s">
        <v>59</v>
      </c>
      <c r="H38" s="97"/>
      <c r="I38" s="30">
        <v>0</v>
      </c>
      <c r="J38" s="11"/>
    </row>
    <row r="39" spans="1:13" ht="15" customHeight="1" x14ac:dyDescent="0.35">
      <c r="A39" s="92" t="s">
        <v>57</v>
      </c>
      <c r="B39" s="92" t="s">
        <v>276</v>
      </c>
      <c r="C39" s="26">
        <v>0</v>
      </c>
      <c r="D39" s="104" t="s">
        <v>292</v>
      </c>
      <c r="E39" s="11"/>
      <c r="F39" s="103">
        <f>DATE($G$9,12,26)</f>
        <v>46017</v>
      </c>
      <c r="G39" s="97" t="s">
        <v>60</v>
      </c>
      <c r="H39" s="97"/>
      <c r="I39" s="30">
        <v>0</v>
      </c>
      <c r="J39" s="11"/>
    </row>
    <row r="40" spans="1:13" ht="15" customHeight="1" x14ac:dyDescent="0.35">
      <c r="A40" s="92"/>
      <c r="B40" s="92"/>
      <c r="C40" s="93"/>
      <c r="D40" s="104"/>
      <c r="E40" s="11"/>
      <c r="F40" s="103">
        <f>DATE($G$9,12,31)</f>
        <v>46022</v>
      </c>
      <c r="G40" s="97" t="s">
        <v>61</v>
      </c>
      <c r="H40" s="97"/>
      <c r="I40" s="30">
        <v>0</v>
      </c>
      <c r="J40" s="11"/>
    </row>
    <row r="41" spans="1:13" ht="15" customHeight="1" x14ac:dyDescent="0.35">
      <c r="A41" s="92"/>
      <c r="B41" s="92"/>
      <c r="C41" s="93"/>
      <c r="D41" s="104"/>
      <c r="F41" s="103">
        <f>DATE($G$9,1,1)</f>
        <v>45658</v>
      </c>
      <c r="G41" s="97" t="s">
        <v>62</v>
      </c>
      <c r="H41" s="97"/>
      <c r="I41" s="30">
        <v>0</v>
      </c>
      <c r="K41" s="10"/>
      <c r="L41" s="10"/>
      <c r="M41" s="10"/>
    </row>
    <row r="42" spans="1:13" ht="15" customHeight="1" x14ac:dyDescent="0.35">
      <c r="A42" s="92"/>
      <c r="B42" s="92"/>
      <c r="C42" s="93"/>
      <c r="D42" s="93"/>
      <c r="F42" s="103">
        <f>DATE($G$9,1,6)</f>
        <v>45663</v>
      </c>
      <c r="G42" s="97" t="s">
        <v>63</v>
      </c>
      <c r="H42" s="97"/>
      <c r="I42" s="30">
        <v>0</v>
      </c>
      <c r="K42" s="10"/>
      <c r="L42" s="10"/>
      <c r="M42" s="10"/>
    </row>
    <row r="43" spans="1:13" ht="15" customHeight="1" x14ac:dyDescent="0.35">
      <c r="A43" s="7"/>
      <c r="B43" s="7"/>
      <c r="C43" s="7"/>
      <c r="D43" s="7"/>
      <c r="F43" s="103">
        <f>DATE($G$9,5,1)</f>
        <v>45778</v>
      </c>
      <c r="G43" s="97" t="s">
        <v>64</v>
      </c>
      <c r="H43" s="97"/>
      <c r="I43" s="30">
        <v>0</v>
      </c>
      <c r="K43" s="10"/>
      <c r="L43" s="10"/>
      <c r="M43" s="10"/>
    </row>
    <row r="44" spans="1:13" ht="15" customHeight="1" x14ac:dyDescent="0.35">
      <c r="A44" s="411" t="s">
        <v>9</v>
      </c>
      <c r="B44" s="411"/>
      <c r="C44" s="411"/>
      <c r="D44" s="411"/>
      <c r="F44" s="103">
        <f>DATE($G$9,10,3)</f>
        <v>45933</v>
      </c>
      <c r="G44" s="97" t="s">
        <v>65</v>
      </c>
      <c r="H44" s="97"/>
      <c r="I44" s="30">
        <v>0</v>
      </c>
      <c r="K44" s="10"/>
      <c r="L44" s="10"/>
      <c r="M44" s="10"/>
    </row>
    <row r="45" spans="1:13" ht="15" customHeight="1" x14ac:dyDescent="0.35">
      <c r="A45" s="92"/>
      <c r="B45" s="92"/>
      <c r="C45" s="93"/>
      <c r="D45" s="93"/>
      <c r="F45" s="103">
        <f>DATE($G$9,11,1)</f>
        <v>45962</v>
      </c>
      <c r="G45" s="97" t="s">
        <v>66</v>
      </c>
      <c r="H45" s="97"/>
      <c r="I45" s="30">
        <v>0</v>
      </c>
      <c r="K45" s="10"/>
      <c r="L45" s="10"/>
      <c r="M45" s="10"/>
    </row>
    <row r="46" spans="1:13" ht="15" customHeight="1" x14ac:dyDescent="0.35">
      <c r="A46" s="105" t="str">
        <f>"Resturlaub aus "&amp;G9-1</f>
        <v>Resturlaub aus 2024</v>
      </c>
      <c r="B46" s="92"/>
      <c r="C46" s="163">
        <v>0</v>
      </c>
      <c r="D46" s="165" t="s">
        <v>123</v>
      </c>
      <c r="F46" s="103"/>
      <c r="G46" s="97"/>
      <c r="H46" s="97"/>
      <c r="I46" s="30">
        <v>0</v>
      </c>
      <c r="K46" s="10"/>
      <c r="L46" s="10"/>
      <c r="M46" s="10"/>
    </row>
    <row r="47" spans="1:13" ht="15" customHeight="1" x14ac:dyDescent="0.35">
      <c r="A47" s="105" t="str">
        <f>"Urlaubsanspruch "&amp;G9</f>
        <v>Urlaubsanspruch 2025</v>
      </c>
      <c r="B47" s="92"/>
      <c r="C47" s="163">
        <v>30</v>
      </c>
      <c r="D47" s="165" t="s">
        <v>123</v>
      </c>
      <c r="F47" s="103">
        <f>F48-2</f>
        <v>45765</v>
      </c>
      <c r="G47" s="97" t="s">
        <v>67</v>
      </c>
      <c r="H47" s="97"/>
      <c r="I47" s="30">
        <v>0</v>
      </c>
      <c r="K47" s="10"/>
      <c r="L47" s="10"/>
      <c r="M47" s="10"/>
    </row>
    <row r="48" spans="1:13" ht="15" customHeight="1" x14ac:dyDescent="0.35">
      <c r="A48" s="105" t="str">
        <f>"Gesamter Urlaubsanspruch "&amp;G9</f>
        <v>Gesamter Urlaubsanspruch 2025</v>
      </c>
      <c r="B48" s="92"/>
      <c r="C48" s="164">
        <f>SUM(C46:C47)</f>
        <v>30</v>
      </c>
      <c r="D48" s="166" t="s">
        <v>123</v>
      </c>
      <c r="F48" s="103">
        <f>ROUND((DAY(MINUTE($G$9/38)/2+55)&amp;".4."&amp;G9)/7,)*7-6</f>
        <v>45767</v>
      </c>
      <c r="G48" s="97" t="s">
        <v>68</v>
      </c>
      <c r="H48" s="97"/>
      <c r="I48" s="30">
        <v>0</v>
      </c>
      <c r="K48" s="10"/>
      <c r="L48" s="10"/>
      <c r="M48" s="10"/>
    </row>
    <row r="49" spans="1:10" ht="15" customHeight="1" x14ac:dyDescent="0.35">
      <c r="A49" s="92"/>
      <c r="B49" s="92"/>
      <c r="C49" s="92"/>
      <c r="D49" s="106"/>
      <c r="F49" s="103">
        <f>F48+1</f>
        <v>45768</v>
      </c>
      <c r="G49" s="97" t="s">
        <v>69</v>
      </c>
      <c r="H49" s="97"/>
      <c r="I49" s="30">
        <v>0</v>
      </c>
    </row>
    <row r="50" spans="1:10" ht="15" customHeight="1" x14ac:dyDescent="0.35">
      <c r="F50" s="103">
        <f>$F$48+39</f>
        <v>45806</v>
      </c>
      <c r="G50" s="97" t="s">
        <v>70</v>
      </c>
      <c r="H50" s="97"/>
      <c r="I50" s="30">
        <v>0</v>
      </c>
    </row>
    <row r="51" spans="1:10" ht="15" customHeight="1" x14ac:dyDescent="0.35">
      <c r="F51" s="103">
        <f>$F$48+49</f>
        <v>45816</v>
      </c>
      <c r="G51" s="97" t="s">
        <v>71</v>
      </c>
      <c r="H51" s="97"/>
      <c r="I51" s="30">
        <v>0</v>
      </c>
    </row>
    <row r="52" spans="1:10" ht="15" customHeight="1" x14ac:dyDescent="0.35">
      <c r="F52" s="103">
        <f>$F$48+50</f>
        <v>45817</v>
      </c>
      <c r="G52" s="97" t="s">
        <v>72</v>
      </c>
      <c r="H52" s="97"/>
      <c r="I52" s="30">
        <v>0</v>
      </c>
    </row>
    <row r="53" spans="1:10" ht="15" customHeight="1" x14ac:dyDescent="0.35">
      <c r="F53" s="103">
        <f>$F$48+60</f>
        <v>45827</v>
      </c>
      <c r="G53" s="97" t="s">
        <v>73</v>
      </c>
      <c r="H53" s="97"/>
      <c r="I53" s="30">
        <v>0</v>
      </c>
    </row>
    <row r="54" spans="1:10" ht="15" customHeight="1" x14ac:dyDescent="0.35">
      <c r="F54" s="103">
        <f>DATE($G$9,8,15)</f>
        <v>45884</v>
      </c>
      <c r="G54" s="97" t="s">
        <v>74</v>
      </c>
      <c r="H54" s="97"/>
      <c r="I54" s="30">
        <v>0</v>
      </c>
    </row>
    <row r="55" spans="1:10" ht="15" customHeight="1" x14ac:dyDescent="0.35">
      <c r="F55" s="103"/>
      <c r="G55" s="97"/>
      <c r="H55" s="97"/>
      <c r="I55" s="107"/>
    </row>
    <row r="56" spans="1:10" ht="15" customHeight="1" x14ac:dyDescent="0.35">
      <c r="F56" s="103" t="s">
        <v>75</v>
      </c>
      <c r="G56" s="97"/>
      <c r="H56" s="98"/>
      <c r="I56" s="107"/>
    </row>
    <row r="57" spans="1:10" ht="15" customHeight="1" x14ac:dyDescent="0.35">
      <c r="F57" s="108"/>
      <c r="G57" s="109"/>
      <c r="H57" s="109"/>
      <c r="I57" s="30">
        <v>0</v>
      </c>
    </row>
    <row r="58" spans="1:10" ht="15" customHeight="1" x14ac:dyDescent="0.35">
      <c r="F58" s="108"/>
      <c r="G58" s="109"/>
      <c r="H58" s="109"/>
      <c r="I58" s="30">
        <v>0</v>
      </c>
    </row>
    <row r="59" spans="1:10" ht="15" customHeight="1" x14ac:dyDescent="0.35">
      <c r="F59" s="103"/>
      <c r="G59" s="97"/>
      <c r="H59" s="98"/>
      <c r="I59" s="100"/>
    </row>
    <row r="60" spans="1:10" ht="15" customHeight="1" x14ac:dyDescent="0.35"/>
    <row r="61" spans="1:10" ht="15" customHeight="1" x14ac:dyDescent="0.35">
      <c r="F61" s="411" t="s">
        <v>257</v>
      </c>
      <c r="G61" s="411"/>
      <c r="H61" s="411"/>
      <c r="I61" s="411"/>
      <c r="J61" s="3"/>
    </row>
    <row r="62" spans="1:10" ht="15" customHeight="1" x14ac:dyDescent="0.35">
      <c r="F62" s="97"/>
      <c r="G62" s="97"/>
      <c r="H62" s="98"/>
      <c r="I62" s="99"/>
      <c r="J62" s="3"/>
    </row>
    <row r="63" spans="1:10" ht="15" customHeight="1" x14ac:dyDescent="0.35">
      <c r="F63" s="103" t="s">
        <v>315</v>
      </c>
      <c r="G63" s="97"/>
      <c r="H63" s="98"/>
      <c r="I63" s="99"/>
    </row>
    <row r="64" spans="1:10" ht="15" customHeight="1" x14ac:dyDescent="0.35">
      <c r="F64" s="103" t="s">
        <v>259</v>
      </c>
      <c r="G64" s="97"/>
      <c r="H64" s="98"/>
      <c r="I64" s="99"/>
    </row>
    <row r="65" spans="6:10" ht="15" customHeight="1" x14ac:dyDescent="0.35">
      <c r="F65" s="103" t="s">
        <v>258</v>
      </c>
      <c r="G65" s="97"/>
      <c r="H65" s="98"/>
      <c r="I65" s="99"/>
    </row>
    <row r="66" spans="6:10" ht="15" customHeight="1" x14ac:dyDescent="0.35">
      <c r="F66" s="97" t="s">
        <v>246</v>
      </c>
      <c r="G66" s="97"/>
      <c r="H66" s="98"/>
      <c r="I66" s="99"/>
      <c r="J66" s="3"/>
    </row>
    <row r="67" spans="6:10" ht="15" customHeight="1" x14ac:dyDescent="0.35">
      <c r="F67" s="97" t="s">
        <v>260</v>
      </c>
      <c r="G67" s="97"/>
      <c r="H67" s="98"/>
      <c r="I67" s="99"/>
      <c r="J67" s="3"/>
    </row>
    <row r="68" spans="6:10" ht="15" customHeight="1" x14ac:dyDescent="0.35">
      <c r="F68" s="97" t="s">
        <v>261</v>
      </c>
      <c r="G68" s="97"/>
      <c r="H68" s="98"/>
      <c r="I68" s="99"/>
      <c r="J68" s="3"/>
    </row>
    <row r="69" spans="6:10" ht="15" customHeight="1" x14ac:dyDescent="0.35">
      <c r="F69" s="97" t="s">
        <v>262</v>
      </c>
      <c r="G69" s="97"/>
      <c r="H69" s="98"/>
      <c r="I69" s="99"/>
    </row>
    <row r="70" spans="6:10" ht="15" customHeight="1" x14ac:dyDescent="0.35">
      <c r="F70" s="97" t="s">
        <v>263</v>
      </c>
      <c r="G70" s="97"/>
      <c r="H70" s="98"/>
      <c r="I70" s="99"/>
    </row>
    <row r="71" spans="6:10" ht="15" customHeight="1" x14ac:dyDescent="0.35">
      <c r="F71" s="97" t="s">
        <v>192</v>
      </c>
      <c r="G71" s="97"/>
      <c r="H71" s="98"/>
      <c r="I71" s="99"/>
    </row>
    <row r="72" spans="6:10" ht="15" customHeight="1" x14ac:dyDescent="0.35">
      <c r="F72" s="97" t="s">
        <v>194</v>
      </c>
      <c r="G72" s="97"/>
      <c r="H72" s="98"/>
      <c r="I72" s="99"/>
    </row>
    <row r="73" spans="6:10" ht="15" customHeight="1" x14ac:dyDescent="0.35">
      <c r="F73" s="97" t="s">
        <v>197</v>
      </c>
      <c r="G73" s="97"/>
      <c r="H73" s="98"/>
      <c r="I73" s="99"/>
    </row>
    <row r="74" spans="6:10" ht="15" customHeight="1" x14ac:dyDescent="0.35">
      <c r="F74" s="97" t="s">
        <v>199</v>
      </c>
      <c r="G74" s="97"/>
      <c r="H74" s="98"/>
      <c r="I74" s="99"/>
    </row>
    <row r="75" spans="6:10" ht="15" customHeight="1" x14ac:dyDescent="0.35">
      <c r="F75" s="97" t="s">
        <v>200</v>
      </c>
      <c r="G75" s="97"/>
      <c r="H75" s="98"/>
      <c r="I75" s="99"/>
    </row>
    <row r="76" spans="6:10" ht="15" customHeight="1" x14ac:dyDescent="0.35">
      <c r="F76" s="97" t="s">
        <v>202</v>
      </c>
      <c r="G76" s="97"/>
      <c r="H76" s="98"/>
      <c r="I76" s="99"/>
    </row>
    <row r="77" spans="6:10" ht="15" customHeight="1" x14ac:dyDescent="0.35">
      <c r="F77" s="97" t="s">
        <v>204</v>
      </c>
      <c r="G77" s="97"/>
      <c r="H77" s="98"/>
      <c r="I77" s="99"/>
    </row>
    <row r="78" spans="6:10" ht="15" customHeight="1" x14ac:dyDescent="0.35">
      <c r="F78" s="97" t="s">
        <v>205</v>
      </c>
      <c r="G78" s="97"/>
      <c r="H78" s="98"/>
      <c r="I78" s="99"/>
    </row>
    <row r="79" spans="6:10" ht="15" customHeight="1" x14ac:dyDescent="0.35">
      <c r="F79" s="97" t="s">
        <v>206</v>
      </c>
      <c r="G79" s="97"/>
      <c r="H79" s="98"/>
      <c r="I79" s="99"/>
    </row>
    <row r="80" spans="6:10" ht="15" customHeight="1" x14ac:dyDescent="0.35">
      <c r="F80" s="97" t="s">
        <v>228</v>
      </c>
      <c r="G80" s="97"/>
      <c r="H80" s="98"/>
      <c r="I80" s="99"/>
    </row>
    <row r="81" spans="6:9" ht="15" customHeight="1" x14ac:dyDescent="0.35">
      <c r="F81" s="97" t="s">
        <v>229</v>
      </c>
      <c r="G81" s="97"/>
      <c r="H81" s="98"/>
      <c r="I81" s="99"/>
    </row>
    <row r="82" spans="6:9" ht="15" customHeight="1" x14ac:dyDescent="0.35">
      <c r="F82" s="97" t="s">
        <v>346</v>
      </c>
      <c r="G82" s="97"/>
      <c r="H82" s="98"/>
      <c r="I82" s="99"/>
    </row>
    <row r="83" spans="6:9" ht="15" customHeight="1" x14ac:dyDescent="0.35">
      <c r="F83" s="97" t="s">
        <v>347</v>
      </c>
      <c r="G83" s="97"/>
      <c r="H83" s="98"/>
      <c r="I83" s="99"/>
    </row>
    <row r="84" spans="6:9" ht="15" customHeight="1" x14ac:dyDescent="0.35">
      <c r="F84" s="97" t="s">
        <v>348</v>
      </c>
      <c r="G84" s="97"/>
      <c r="H84" s="98"/>
      <c r="I84" s="99"/>
    </row>
    <row r="85" spans="6:9" ht="15" customHeight="1" x14ac:dyDescent="0.35">
      <c r="F85" s="97" t="s">
        <v>349</v>
      </c>
      <c r="G85" s="97"/>
      <c r="H85" s="98"/>
      <c r="I85" s="99"/>
    </row>
    <row r="86" spans="6:9" ht="15" customHeight="1" x14ac:dyDescent="0.35">
      <c r="F86" s="97" t="s">
        <v>350</v>
      </c>
      <c r="G86" s="97"/>
      <c r="H86" s="98"/>
      <c r="I86" s="99"/>
    </row>
    <row r="87" spans="6:9" ht="15" customHeight="1" x14ac:dyDescent="0.35">
      <c r="F87" s="97" t="s">
        <v>351</v>
      </c>
      <c r="G87" s="97"/>
      <c r="H87" s="98"/>
      <c r="I87" s="99"/>
    </row>
    <row r="88" spans="6:9" ht="15" customHeight="1" x14ac:dyDescent="0.35">
      <c r="F88" s="97" t="s">
        <v>352</v>
      </c>
      <c r="G88" s="97"/>
      <c r="H88" s="98"/>
      <c r="I88" s="99"/>
    </row>
    <row r="89" spans="6:9" ht="15" customHeight="1" x14ac:dyDescent="0.35">
      <c r="F89" s="103" t="s">
        <v>353</v>
      </c>
      <c r="G89" s="97"/>
      <c r="H89" s="98"/>
      <c r="I89" s="99"/>
    </row>
    <row r="90" spans="6:9" ht="15" customHeight="1" x14ac:dyDescent="0.35">
      <c r="F90" s="103" t="s">
        <v>256</v>
      </c>
      <c r="G90" s="97"/>
      <c r="H90" s="98"/>
      <c r="I90" s="99"/>
    </row>
    <row r="91" spans="6:9" ht="15" customHeight="1" x14ac:dyDescent="0.35">
      <c r="F91" s="103" t="s">
        <v>230</v>
      </c>
      <c r="G91" s="97"/>
      <c r="H91" s="98"/>
      <c r="I91" s="99"/>
    </row>
    <row r="92" spans="6:9" ht="15" customHeight="1" x14ac:dyDescent="0.35">
      <c r="F92" s="103" t="s">
        <v>238</v>
      </c>
      <c r="G92" s="97"/>
      <c r="H92" s="98"/>
      <c r="I92" s="99"/>
    </row>
    <row r="93" spans="6:9" ht="15" customHeight="1" x14ac:dyDescent="0.35"/>
    <row r="94" spans="6:9" ht="15" customHeight="1" x14ac:dyDescent="0.35"/>
    <row r="95" spans="6:9" ht="15" customHeight="1" x14ac:dyDescent="0.35"/>
    <row r="96" spans="6:9"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sheetData>
  <sheetProtection selectLockedCells="1"/>
  <mergeCells count="23">
    <mergeCell ref="F61:I61"/>
    <mergeCell ref="A1:I6"/>
    <mergeCell ref="A33:D33"/>
    <mergeCell ref="A44:D44"/>
    <mergeCell ref="F8:I8"/>
    <mergeCell ref="F13:I13"/>
    <mergeCell ref="C22:D22"/>
    <mergeCell ref="C19:D19"/>
    <mergeCell ref="C21:D21"/>
    <mergeCell ref="C15:D15"/>
    <mergeCell ref="F35:I35"/>
    <mergeCell ref="F9:F11"/>
    <mergeCell ref="A8:D8"/>
    <mergeCell ref="A28:D28"/>
    <mergeCell ref="C10:D10"/>
    <mergeCell ref="C11:D11"/>
    <mergeCell ref="C13:D13"/>
    <mergeCell ref="C16:D16"/>
    <mergeCell ref="C14:D14"/>
    <mergeCell ref="C26:D26"/>
    <mergeCell ref="C12:D12"/>
    <mergeCell ref="C17:D17"/>
    <mergeCell ref="C18:D18"/>
  </mergeCells>
  <dataValidations xWindow="429" yWindow="732" count="8">
    <dataValidation type="date" operator="greaterThan" allowBlank="1" showInputMessage="1" showErrorMessage="1" errorTitle="Fehlerhaftes Eingabeformat" error="Bitte erfassen Sie ein gültiges Eintrittsdatum (Format TT.MM.JJJJ). Wiederholen Sie den Vorgang. Danke." promptTitle="Eingabeformat" prompt="Bitte erfassen Sie das Eintrittsdatum (Format TT.MM.JJJJ). Wenn Ihr Dienstantritt vor Beginn der aktuellen Kalenderperiode liegt, können Sie alternativ zum tatsächlichen Eintrittsdatum hier auch den 01.01. der aktuellen Kalenderperiode erfassen. Danke." sqref="C30" xr:uid="{00000000-0002-0000-0200-000000000000}">
      <formula1>16438</formula1>
    </dataValidation>
    <dataValidation type="decimal" allowBlank="1" showInputMessage="1" showErrorMessage="1" errorTitle="Fehlerhaftes Eingabeformat" error="Bitte erfassen Sie hier einen gültigen Wert Bitte wiederholen Sie Ihre Eingabe. Danke." promptTitle="Eingabeformat" prompt="Bitte erfassen Sie hier Ihren Resturlaub des Vorjahres. Danke." sqref="C46" xr:uid="{00000000-0002-0000-0200-000001000000}">
      <formula1>0</formula1>
      <formula2>100</formula2>
    </dataValidation>
    <dataValidation allowBlank="1" showInputMessage="1" showErrorMessage="1" errorTitle="Fehlerhaftes Eingabeformat" error="Bitte erfassen Sie hier einen gültigen Wert von 1 bis 30 Tagen zzgl. etwaiger Zusatztage. Danke." promptTitle="Eingabeformat" prompt="Bitte erfassen Sie hier den für Sie gültigen Wert. Danke." sqref="C47" xr:uid="{00000000-0002-0000-0200-000002000000}"/>
    <dataValidation type="time" allowBlank="1" showInputMessage="1" showErrorMessage="1" errorTitle="Fehlerhaftes Eingabeformat" error="Erfassung durch Mitarbeitende mit Dienst an Feiertagen:_x000a__x000a_Bitte erfassen Sie hier die mit dem Dienstgeber vereinbarten SOLL-Stunden für den Feiertagsbetrieb in einem gültigen Format. Danke." promptTitle="Eingabeformat" prompt="Erfassung durch Mitarbeitende mit Dienst an Feiertagen:_x000a__x000a_Bitte erfassen Sie hier die mit dem Dienstgeber vereinbarten SOLL-Stunden für den Feiertagsbetrieb (Format hh:mm). Danke." sqref="I37:I54 I27:I31 I57:I58" xr:uid="{00000000-0002-0000-0200-000003000000}">
      <formula1>0</formula1>
      <formula2>0.999305555555556</formula2>
    </dataValidation>
    <dataValidation type="date" operator="greaterThanOrEqual" allowBlank="1" showInputMessage="1" showErrorMessage="1" promptTitle="Eingabeformat" prompt="Erfassen Sie bitte hier Ihr Geburtsdatum, falls Sie zu Beginn der Kalenderperiode noch nicht das 18. Lebensjahr vollendet haben." sqref="C25" xr:uid="{00000000-0002-0000-0200-000004000000}">
      <formula1>36526</formula1>
    </dataValidation>
    <dataValidation type="list" allowBlank="1" showInputMessage="1" showErrorMessage="1" promptTitle="Berufsgruppe erfassen:" prompt="Mesner/in_x000a_Pfarrsekretärin_x000a_Kirchenmusiker/in_x000a_Päd. Fachkraft_x000a_Ergänzungkraft_x000a_Hausmeister_x000a_Pfarrhelfer/in_x000a_Seelsorgehelfer/in_x000a_Gemeindeassistent/in_x000a_Pastoralassistent/in_x000a_Gemeindereferent/in_x000a_Pastoralreferent/in_x000a_Sonstige/r Arbeitnehmer/in" sqref="C23" xr:uid="{00000000-0002-0000-0200-000005000000}">
      <formula1>"Mesner/in,Pfarrsekretär/in,Kirchenmusiker/in,Pädag. Fachkraft, Ergäzungskraft,Hausmeister,Pfarrhelfer/in,Seelsorgehelfer/in,Gemeindeassistent/in,Pastoralassistent/in,Gemeindereferent/in,Pastoralreferent/in,Sonstige/r Arbeitnehmer/in,"</formula1>
    </dataValidation>
    <dataValidation allowBlank="1" showInputMessage="1" showErrorMessage="1" prompt="Bitte erfassen Sie hier Ihre Dienststellen gemäß Ihrer Dienstanweisung." sqref="C16:D18" xr:uid="{00000000-0002-0000-0200-000006000000}"/>
    <dataValidation allowBlank="1" showInputMessage="1" showErrorMessage="1" errorTitle="Fehlerhafte Erfassung" error="Erfassung durch Mitarbeitenden:_x000a__x000a_Bitte erfassen Sie hier Ihr Zeitguthaben bzw. das Zeitdefizit zum 31.12. des  Vorjahres als Dezimalzahl. Bei einem Zeitdefizit erfassen Sie dieses mit einem Minus-Vorzeichen. Danke." promptTitle="Eingabeformat" prompt="Erfassung durch Mitarbeitenden:_x000a__x000a_Bitte erfassen Sie hier Ihr Zeitguthaben bzw. das Zeitdefizit zum 31.12. des  Vorjahres als Dezimalzahl. Bei einem Zeitdefizit erfassen Sie dieses mit einem Minus-Vorzeichen. Danke." sqref="C35:C39" xr:uid="{00000000-0002-0000-0200-000007000000}"/>
  </dataValidations>
  <pageMargins left="0.70866141732283472" right="0.31496062992125984" top="0.59055118110236227" bottom="0.59055118110236227" header="0.31496062992125984" footer="0.31496062992125984"/>
  <pageSetup paperSize="9" scale="3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Spinner 1">
              <controlPr locked="0" defaultSize="0" print="0" autoPict="0">
                <anchor moveWithCells="1" sizeWithCells="1">
                  <from>
                    <xdr:col>6</xdr:col>
                    <xdr:colOff>533400</xdr:colOff>
                    <xdr:row>9</xdr:row>
                    <xdr:rowOff>12700</xdr:rowOff>
                  </from>
                  <to>
                    <xdr:col>6</xdr:col>
                    <xdr:colOff>1333500</xdr:colOff>
                    <xdr:row>10</xdr:row>
                    <xdr:rowOff>127000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5">
    <tabColor theme="4"/>
    <pageSetUpPr fitToPage="1"/>
  </sheetPr>
  <dimension ref="A1:O49"/>
  <sheetViews>
    <sheetView showGridLines="0" zoomScale="80" zoomScaleNormal="80" workbookViewId="0">
      <selection activeCell="E10" sqref="E10"/>
    </sheetView>
  </sheetViews>
  <sheetFormatPr baseColWidth="10" defaultColWidth="11.453125" defaultRowHeight="14.5" x14ac:dyDescent="0.35"/>
  <cols>
    <col min="1" max="1" width="58.1796875" style="14" bestFit="1" customWidth="1"/>
    <col min="2" max="2" width="14.26953125" style="14" customWidth="1"/>
    <col min="3" max="14" width="14.26953125" style="3" customWidth="1"/>
    <col min="15" max="15" width="15.1796875" style="3" customWidth="1"/>
    <col min="16" max="16384" width="11.453125" style="3"/>
  </cols>
  <sheetData>
    <row r="1" spans="1:15" x14ac:dyDescent="0.35">
      <c r="A1" s="414" t="s">
        <v>76</v>
      </c>
      <c r="B1" s="414"/>
      <c r="C1" s="414"/>
      <c r="D1" s="414"/>
      <c r="E1" s="414"/>
      <c r="F1" s="414"/>
      <c r="G1" s="414"/>
      <c r="H1" s="414"/>
      <c r="I1" s="414"/>
      <c r="J1" s="414"/>
      <c r="K1" s="414"/>
      <c r="L1" s="414"/>
      <c r="M1" s="414"/>
      <c r="N1" s="414"/>
      <c r="O1" s="414"/>
    </row>
    <row r="2" spans="1:15" x14ac:dyDescent="0.35">
      <c r="A2" s="414"/>
      <c r="B2" s="414"/>
      <c r="C2" s="414"/>
      <c r="D2" s="414"/>
      <c r="E2" s="414"/>
      <c r="F2" s="414"/>
      <c r="G2" s="414"/>
      <c r="H2" s="414"/>
      <c r="I2" s="414"/>
      <c r="J2" s="414"/>
      <c r="K2" s="414"/>
      <c r="L2" s="414"/>
      <c r="M2" s="414"/>
      <c r="N2" s="414"/>
      <c r="O2" s="414"/>
    </row>
    <row r="3" spans="1:15" x14ac:dyDescent="0.35">
      <c r="A3" s="414"/>
      <c r="B3" s="414"/>
      <c r="C3" s="414"/>
      <c r="D3" s="414"/>
      <c r="E3" s="414"/>
      <c r="F3" s="414"/>
      <c r="G3" s="414"/>
      <c r="H3" s="414"/>
      <c r="I3" s="414"/>
      <c r="J3" s="414"/>
      <c r="K3" s="414"/>
      <c r="L3" s="414"/>
      <c r="M3" s="414"/>
      <c r="N3" s="414"/>
      <c r="O3" s="414"/>
    </row>
    <row r="4" spans="1:15" x14ac:dyDescent="0.35">
      <c r="A4" s="414"/>
      <c r="B4" s="414"/>
      <c r="C4" s="414"/>
      <c r="D4" s="414"/>
      <c r="E4" s="414"/>
      <c r="F4" s="414"/>
      <c r="G4" s="414"/>
      <c r="H4" s="414"/>
      <c r="I4" s="414"/>
      <c r="J4" s="414"/>
      <c r="K4" s="414"/>
      <c r="L4" s="414"/>
      <c r="M4" s="414"/>
      <c r="N4" s="414"/>
      <c r="O4" s="414"/>
    </row>
    <row r="5" spans="1:15" x14ac:dyDescent="0.35">
      <c r="A5" s="414"/>
      <c r="B5" s="414"/>
      <c r="C5" s="414"/>
      <c r="D5" s="414"/>
      <c r="E5" s="414"/>
      <c r="F5" s="414"/>
      <c r="G5" s="414"/>
      <c r="H5" s="414"/>
      <c r="I5" s="414"/>
      <c r="J5" s="414"/>
      <c r="K5" s="414"/>
      <c r="L5" s="414"/>
      <c r="M5" s="414"/>
      <c r="N5" s="414"/>
      <c r="O5" s="414"/>
    </row>
    <row r="6" spans="1:15" x14ac:dyDescent="0.35">
      <c r="A6" s="414"/>
      <c r="B6" s="414"/>
      <c r="C6" s="414"/>
      <c r="D6" s="414"/>
      <c r="E6" s="414"/>
      <c r="F6" s="414"/>
      <c r="G6" s="414"/>
      <c r="H6" s="414"/>
      <c r="I6" s="414"/>
      <c r="J6" s="414"/>
      <c r="K6" s="414"/>
      <c r="L6" s="414"/>
      <c r="M6" s="414"/>
      <c r="N6" s="414"/>
      <c r="O6" s="414"/>
    </row>
    <row r="7" spans="1:15" ht="18.5" x14ac:dyDescent="0.35">
      <c r="A7" s="182" t="s">
        <v>77</v>
      </c>
      <c r="B7" s="183"/>
      <c r="C7" s="183" t="s">
        <v>78</v>
      </c>
      <c r="D7" s="183" t="s">
        <v>79</v>
      </c>
      <c r="E7" s="183" t="s">
        <v>80</v>
      </c>
      <c r="F7" s="183" t="s">
        <v>81</v>
      </c>
      <c r="G7" s="183" t="s">
        <v>82</v>
      </c>
      <c r="H7" s="183" t="s">
        <v>83</v>
      </c>
      <c r="I7" s="183" t="s">
        <v>84</v>
      </c>
      <c r="J7" s="183" t="s">
        <v>85</v>
      </c>
      <c r="K7" s="183" t="s">
        <v>86</v>
      </c>
      <c r="L7" s="183" t="s">
        <v>87</v>
      </c>
      <c r="M7" s="183" t="s">
        <v>88</v>
      </c>
      <c r="N7" s="183" t="s">
        <v>89</v>
      </c>
      <c r="O7" s="184" t="s">
        <v>90</v>
      </c>
    </row>
    <row r="8" spans="1:15" x14ac:dyDescent="0.35">
      <c r="A8" s="162" t="s">
        <v>91</v>
      </c>
      <c r="B8" s="85"/>
      <c r="C8" s="86"/>
      <c r="D8" s="86"/>
      <c r="E8" s="86"/>
      <c r="F8" s="86"/>
      <c r="G8" s="86"/>
      <c r="H8" s="86"/>
      <c r="I8" s="86"/>
      <c r="J8" s="86"/>
      <c r="K8" s="86"/>
      <c r="L8" s="86"/>
      <c r="M8" s="86"/>
      <c r="N8" s="86"/>
      <c r="O8" s="146"/>
    </row>
    <row r="9" spans="1:15" x14ac:dyDescent="0.35">
      <c r="A9" s="85" t="s">
        <v>92</v>
      </c>
      <c r="B9" s="85"/>
      <c r="C9" s="173">
        <v>5</v>
      </c>
      <c r="D9" s="173">
        <v>5</v>
      </c>
      <c r="E9" s="173">
        <v>5</v>
      </c>
      <c r="F9" s="173">
        <v>5</v>
      </c>
      <c r="G9" s="173">
        <v>5</v>
      </c>
      <c r="H9" s="173">
        <v>5</v>
      </c>
      <c r="I9" s="173">
        <v>5</v>
      </c>
      <c r="J9" s="173">
        <v>5</v>
      </c>
      <c r="K9" s="173">
        <v>5</v>
      </c>
      <c r="L9" s="173">
        <v>5</v>
      </c>
      <c r="M9" s="173">
        <v>5</v>
      </c>
      <c r="N9" s="173">
        <v>5</v>
      </c>
      <c r="O9" s="147">
        <f>AVERAGE(C9:N9)</f>
        <v>5</v>
      </c>
    </row>
    <row r="10" spans="1:15" x14ac:dyDescent="0.35">
      <c r="A10" s="87" t="s">
        <v>93</v>
      </c>
      <c r="B10" s="87"/>
      <c r="C10" s="158">
        <v>0.32500000000000001</v>
      </c>
      <c r="D10" s="158">
        <v>0.32500000000000001</v>
      </c>
      <c r="E10" s="158">
        <v>0.32500000000000001</v>
      </c>
      <c r="F10" s="158">
        <v>0.32500000000000001</v>
      </c>
      <c r="G10" s="158">
        <v>0.32500000000000001</v>
      </c>
      <c r="H10" s="158">
        <v>0.32500000000000001</v>
      </c>
      <c r="I10" s="158">
        <v>0.32500000000000001</v>
      </c>
      <c r="J10" s="158">
        <v>0.32500000000000001</v>
      </c>
      <c r="K10" s="158">
        <v>0.32500000000000001</v>
      </c>
      <c r="L10" s="158">
        <v>0.32500000000000001</v>
      </c>
      <c r="M10" s="158">
        <v>0.32500000000000001</v>
      </c>
      <c r="N10" s="158">
        <v>0.32500000000000001</v>
      </c>
      <c r="O10" s="148">
        <f t="shared" ref="O10:O13" si="0">AVERAGE(C10:N10)</f>
        <v>0.32500000000000007</v>
      </c>
    </row>
    <row r="11" spans="1:15" ht="15" thickBot="1" x14ac:dyDescent="0.4">
      <c r="A11" s="85" t="s">
        <v>94</v>
      </c>
      <c r="B11" s="85"/>
      <c r="C11" s="159">
        <f t="shared" ref="C11:N11" si="1">C10*C9</f>
        <v>1.625</v>
      </c>
      <c r="D11" s="159">
        <f t="shared" si="1"/>
        <v>1.625</v>
      </c>
      <c r="E11" s="159">
        <f t="shared" si="1"/>
        <v>1.625</v>
      </c>
      <c r="F11" s="159">
        <f t="shared" si="1"/>
        <v>1.625</v>
      </c>
      <c r="G11" s="159">
        <f t="shared" si="1"/>
        <v>1.625</v>
      </c>
      <c r="H11" s="159">
        <f t="shared" si="1"/>
        <v>1.625</v>
      </c>
      <c r="I11" s="159">
        <f t="shared" si="1"/>
        <v>1.625</v>
      </c>
      <c r="J11" s="159">
        <f t="shared" si="1"/>
        <v>1.625</v>
      </c>
      <c r="K11" s="159">
        <f t="shared" si="1"/>
        <v>1.625</v>
      </c>
      <c r="L11" s="159">
        <f t="shared" si="1"/>
        <v>1.625</v>
      </c>
      <c r="M11" s="159">
        <f t="shared" si="1"/>
        <v>1.625</v>
      </c>
      <c r="N11" s="160">
        <f t="shared" si="1"/>
        <v>1.625</v>
      </c>
      <c r="O11" s="148">
        <f t="shared" si="0"/>
        <v>1.625</v>
      </c>
    </row>
    <row r="12" spans="1:15" s="144" customFormat="1" ht="15" thickTop="1" x14ac:dyDescent="0.35">
      <c r="A12" s="142" t="s">
        <v>300</v>
      </c>
      <c r="B12" s="143"/>
      <c r="C12" s="172">
        <v>5</v>
      </c>
      <c r="D12" s="172">
        <v>5</v>
      </c>
      <c r="E12" s="172">
        <v>5</v>
      </c>
      <c r="F12" s="172">
        <v>5</v>
      </c>
      <c r="G12" s="172">
        <v>5</v>
      </c>
      <c r="H12" s="172">
        <v>5</v>
      </c>
      <c r="I12" s="172">
        <v>5</v>
      </c>
      <c r="J12" s="172">
        <v>5</v>
      </c>
      <c r="K12" s="172">
        <v>5</v>
      </c>
      <c r="L12" s="172">
        <v>5</v>
      </c>
      <c r="M12" s="172">
        <v>5</v>
      </c>
      <c r="N12" s="174">
        <v>5</v>
      </c>
      <c r="O12" s="171"/>
    </row>
    <row r="13" spans="1:15" s="144" customFormat="1" x14ac:dyDescent="0.35">
      <c r="A13" s="142" t="s">
        <v>281</v>
      </c>
      <c r="B13" s="143"/>
      <c r="C13" s="145">
        <f>C11/C12</f>
        <v>0.32500000000000001</v>
      </c>
      <c r="D13" s="145">
        <f t="shared" ref="D13:N13" si="2">D11/D12</f>
        <v>0.32500000000000001</v>
      </c>
      <c r="E13" s="145">
        <f t="shared" si="2"/>
        <v>0.32500000000000001</v>
      </c>
      <c r="F13" s="145">
        <f t="shared" si="2"/>
        <v>0.32500000000000001</v>
      </c>
      <c r="G13" s="145">
        <f t="shared" si="2"/>
        <v>0.32500000000000001</v>
      </c>
      <c r="H13" s="145">
        <f t="shared" si="2"/>
        <v>0.32500000000000001</v>
      </c>
      <c r="I13" s="145">
        <f t="shared" si="2"/>
        <v>0.32500000000000001</v>
      </c>
      <c r="J13" s="145">
        <f t="shared" si="2"/>
        <v>0.32500000000000001</v>
      </c>
      <c r="K13" s="145">
        <f t="shared" si="2"/>
        <v>0.32500000000000001</v>
      </c>
      <c r="L13" s="145">
        <f t="shared" si="2"/>
        <v>0.32500000000000001</v>
      </c>
      <c r="M13" s="145">
        <f t="shared" si="2"/>
        <v>0.32500000000000001</v>
      </c>
      <c r="N13" s="145">
        <f t="shared" si="2"/>
        <v>0.32500000000000001</v>
      </c>
      <c r="O13" s="148">
        <f t="shared" si="0"/>
        <v>0.32500000000000007</v>
      </c>
    </row>
    <row r="14" spans="1:15" x14ac:dyDescent="0.35">
      <c r="A14" s="85"/>
      <c r="B14" s="85"/>
      <c r="C14" s="88"/>
      <c r="D14" s="88"/>
      <c r="E14" s="88"/>
      <c r="F14" s="88"/>
      <c r="G14" s="88"/>
      <c r="H14" s="88"/>
      <c r="I14" s="88"/>
      <c r="J14" s="88"/>
      <c r="K14" s="88"/>
      <c r="L14" s="88"/>
      <c r="M14" s="88"/>
      <c r="N14" s="88"/>
      <c r="O14" s="149"/>
    </row>
    <row r="15" spans="1:15" x14ac:dyDescent="0.35">
      <c r="A15" s="237" t="s">
        <v>286</v>
      </c>
      <c r="B15" s="85"/>
      <c r="C15" s="238" t="str">
        <f>"Dienststelle 1: "&amp;Grunddaten!C16</f>
        <v>Dienststelle 1: AAA</v>
      </c>
      <c r="D15" s="239"/>
      <c r="E15" s="239"/>
      <c r="F15" s="239"/>
      <c r="G15" s="239"/>
      <c r="H15" s="239"/>
      <c r="I15" s="239"/>
      <c r="J15" s="239"/>
      <c r="K15" s="239"/>
      <c r="L15" s="239"/>
      <c r="M15" s="239"/>
      <c r="N15" s="240"/>
      <c r="O15" s="149"/>
    </row>
    <row r="16" spans="1:15" x14ac:dyDescent="0.35">
      <c r="A16" s="111" t="s">
        <v>95</v>
      </c>
      <c r="B16" s="111"/>
      <c r="C16" s="141">
        <v>0.32500000000000001</v>
      </c>
      <c r="D16" s="141">
        <f>C16</f>
        <v>0.32500000000000001</v>
      </c>
      <c r="E16" s="141">
        <f t="shared" ref="E16:N16" si="3">D16</f>
        <v>0.32500000000000001</v>
      </c>
      <c r="F16" s="141">
        <f t="shared" si="3"/>
        <v>0.32500000000000001</v>
      </c>
      <c r="G16" s="141">
        <f t="shared" si="3"/>
        <v>0.32500000000000001</v>
      </c>
      <c r="H16" s="141">
        <f t="shared" si="3"/>
        <v>0.32500000000000001</v>
      </c>
      <c r="I16" s="141">
        <f t="shared" si="3"/>
        <v>0.32500000000000001</v>
      </c>
      <c r="J16" s="141">
        <f t="shared" si="3"/>
        <v>0.32500000000000001</v>
      </c>
      <c r="K16" s="141">
        <f t="shared" si="3"/>
        <v>0.32500000000000001</v>
      </c>
      <c r="L16" s="141">
        <f t="shared" si="3"/>
        <v>0.32500000000000001</v>
      </c>
      <c r="M16" s="141">
        <f t="shared" si="3"/>
        <v>0.32500000000000001</v>
      </c>
      <c r="N16" s="141">
        <f t="shared" si="3"/>
        <v>0.32500000000000001</v>
      </c>
      <c r="O16" s="148">
        <f t="shared" ref="O16:O48" si="4">AVERAGE(C16:N16)</f>
        <v>0.32500000000000007</v>
      </c>
    </row>
    <row r="17" spans="1:15" x14ac:dyDescent="0.35">
      <c r="A17" s="111" t="s">
        <v>96</v>
      </c>
      <c r="B17" s="111"/>
      <c r="C17" s="141">
        <v>0.32500000000000001</v>
      </c>
      <c r="D17" s="141">
        <f t="shared" ref="D17:N20" si="5">C17</f>
        <v>0.32500000000000001</v>
      </c>
      <c r="E17" s="141">
        <f t="shared" si="5"/>
        <v>0.32500000000000001</v>
      </c>
      <c r="F17" s="141">
        <f t="shared" si="5"/>
        <v>0.32500000000000001</v>
      </c>
      <c r="G17" s="141">
        <f t="shared" si="5"/>
        <v>0.32500000000000001</v>
      </c>
      <c r="H17" s="141">
        <f t="shared" si="5"/>
        <v>0.32500000000000001</v>
      </c>
      <c r="I17" s="141">
        <f t="shared" si="5"/>
        <v>0.32500000000000001</v>
      </c>
      <c r="J17" s="141">
        <f t="shared" si="5"/>
        <v>0.32500000000000001</v>
      </c>
      <c r="K17" s="141">
        <f t="shared" si="5"/>
        <v>0.32500000000000001</v>
      </c>
      <c r="L17" s="141">
        <f t="shared" si="5"/>
        <v>0.32500000000000001</v>
      </c>
      <c r="M17" s="141">
        <f t="shared" si="5"/>
        <v>0.32500000000000001</v>
      </c>
      <c r="N17" s="141">
        <f t="shared" si="5"/>
        <v>0.32500000000000001</v>
      </c>
      <c r="O17" s="148">
        <f t="shared" si="4"/>
        <v>0.32500000000000007</v>
      </c>
    </row>
    <row r="18" spans="1:15" x14ac:dyDescent="0.35">
      <c r="A18" s="111" t="s">
        <v>97</v>
      </c>
      <c r="B18" s="111"/>
      <c r="C18" s="141">
        <v>0.32500000000000001</v>
      </c>
      <c r="D18" s="141">
        <f t="shared" si="5"/>
        <v>0.32500000000000001</v>
      </c>
      <c r="E18" s="141">
        <f t="shared" si="5"/>
        <v>0.32500000000000001</v>
      </c>
      <c r="F18" s="141">
        <f t="shared" si="5"/>
        <v>0.32500000000000001</v>
      </c>
      <c r="G18" s="141">
        <f t="shared" si="5"/>
        <v>0.32500000000000001</v>
      </c>
      <c r="H18" s="141">
        <f t="shared" si="5"/>
        <v>0.32500000000000001</v>
      </c>
      <c r="I18" s="141">
        <f t="shared" si="5"/>
        <v>0.32500000000000001</v>
      </c>
      <c r="J18" s="141">
        <f t="shared" si="5"/>
        <v>0.32500000000000001</v>
      </c>
      <c r="K18" s="141">
        <f t="shared" si="5"/>
        <v>0.32500000000000001</v>
      </c>
      <c r="L18" s="141">
        <f t="shared" si="5"/>
        <v>0.32500000000000001</v>
      </c>
      <c r="M18" s="141">
        <f t="shared" si="5"/>
        <v>0.32500000000000001</v>
      </c>
      <c r="N18" s="141">
        <f t="shared" si="5"/>
        <v>0.32500000000000001</v>
      </c>
      <c r="O18" s="148">
        <f t="shared" si="4"/>
        <v>0.32500000000000007</v>
      </c>
    </row>
    <row r="19" spans="1:15" x14ac:dyDescent="0.35">
      <c r="A19" s="111" t="s">
        <v>98</v>
      </c>
      <c r="B19" s="111"/>
      <c r="C19" s="141">
        <f t="shared" ref="C19" si="6">C18</f>
        <v>0.32500000000000001</v>
      </c>
      <c r="D19" s="141">
        <f t="shared" si="5"/>
        <v>0.32500000000000001</v>
      </c>
      <c r="E19" s="141">
        <f t="shared" si="5"/>
        <v>0.32500000000000001</v>
      </c>
      <c r="F19" s="141">
        <f t="shared" si="5"/>
        <v>0.32500000000000001</v>
      </c>
      <c r="G19" s="141">
        <f t="shared" si="5"/>
        <v>0.32500000000000001</v>
      </c>
      <c r="H19" s="141">
        <f t="shared" si="5"/>
        <v>0.32500000000000001</v>
      </c>
      <c r="I19" s="141">
        <f t="shared" si="5"/>
        <v>0.32500000000000001</v>
      </c>
      <c r="J19" s="141">
        <f t="shared" si="5"/>
        <v>0.32500000000000001</v>
      </c>
      <c r="K19" s="141">
        <f t="shared" si="5"/>
        <v>0.32500000000000001</v>
      </c>
      <c r="L19" s="141">
        <f t="shared" si="5"/>
        <v>0.32500000000000001</v>
      </c>
      <c r="M19" s="141">
        <f t="shared" si="5"/>
        <v>0.32500000000000001</v>
      </c>
      <c r="N19" s="141">
        <f t="shared" si="5"/>
        <v>0.32500000000000001</v>
      </c>
      <c r="O19" s="148">
        <f t="shared" si="4"/>
        <v>0.32500000000000007</v>
      </c>
    </row>
    <row r="20" spans="1:15" x14ac:dyDescent="0.35">
      <c r="A20" s="111" t="s">
        <v>99</v>
      </c>
      <c r="B20" s="111"/>
      <c r="C20" s="141">
        <v>0.32500000000000001</v>
      </c>
      <c r="D20" s="141">
        <f t="shared" si="5"/>
        <v>0.32500000000000001</v>
      </c>
      <c r="E20" s="141">
        <f t="shared" si="5"/>
        <v>0.32500000000000001</v>
      </c>
      <c r="F20" s="141">
        <f t="shared" si="5"/>
        <v>0.32500000000000001</v>
      </c>
      <c r="G20" s="141">
        <f t="shared" si="5"/>
        <v>0.32500000000000001</v>
      </c>
      <c r="H20" s="141">
        <f t="shared" si="5"/>
        <v>0.32500000000000001</v>
      </c>
      <c r="I20" s="141">
        <f t="shared" si="5"/>
        <v>0.32500000000000001</v>
      </c>
      <c r="J20" s="141">
        <f t="shared" si="5"/>
        <v>0.32500000000000001</v>
      </c>
      <c r="K20" s="141">
        <f t="shared" si="5"/>
        <v>0.32500000000000001</v>
      </c>
      <c r="L20" s="141">
        <f t="shared" si="5"/>
        <v>0.32500000000000001</v>
      </c>
      <c r="M20" s="141">
        <f t="shared" si="5"/>
        <v>0.32500000000000001</v>
      </c>
      <c r="N20" s="141">
        <f t="shared" si="5"/>
        <v>0.32500000000000001</v>
      </c>
      <c r="O20" s="148">
        <f t="shared" si="4"/>
        <v>0.32500000000000007</v>
      </c>
    </row>
    <row r="21" spans="1:15" x14ac:dyDescent="0.35">
      <c r="A21" s="111" t="s">
        <v>100</v>
      </c>
      <c r="B21" s="111"/>
      <c r="C21" s="152">
        <v>0</v>
      </c>
      <c r="D21" s="152">
        <f>C21</f>
        <v>0</v>
      </c>
      <c r="E21" s="152">
        <f t="shared" ref="E21:N21" si="7">D21</f>
        <v>0</v>
      </c>
      <c r="F21" s="152">
        <f t="shared" si="7"/>
        <v>0</v>
      </c>
      <c r="G21" s="152">
        <f t="shared" si="7"/>
        <v>0</v>
      </c>
      <c r="H21" s="152">
        <f t="shared" si="7"/>
        <v>0</v>
      </c>
      <c r="I21" s="152">
        <f t="shared" si="7"/>
        <v>0</v>
      </c>
      <c r="J21" s="152">
        <f t="shared" si="7"/>
        <v>0</v>
      </c>
      <c r="K21" s="152">
        <f t="shared" si="7"/>
        <v>0</v>
      </c>
      <c r="L21" s="152">
        <f t="shared" si="7"/>
        <v>0</v>
      </c>
      <c r="M21" s="152">
        <f t="shared" si="7"/>
        <v>0</v>
      </c>
      <c r="N21" s="153">
        <f t="shared" si="7"/>
        <v>0</v>
      </c>
      <c r="O21" s="148">
        <f t="shared" si="4"/>
        <v>0</v>
      </c>
    </row>
    <row r="22" spans="1:15" x14ac:dyDescent="0.35">
      <c r="A22" s="111" t="s">
        <v>101</v>
      </c>
      <c r="B22" s="111"/>
      <c r="C22" s="154">
        <v>0</v>
      </c>
      <c r="D22" s="154">
        <f>C22</f>
        <v>0</v>
      </c>
      <c r="E22" s="154">
        <f t="shared" ref="E22:N22" si="8">D22</f>
        <v>0</v>
      </c>
      <c r="F22" s="154">
        <f t="shared" si="8"/>
        <v>0</v>
      </c>
      <c r="G22" s="154">
        <f t="shared" si="8"/>
        <v>0</v>
      </c>
      <c r="H22" s="154">
        <f t="shared" si="8"/>
        <v>0</v>
      </c>
      <c r="I22" s="154">
        <f t="shared" si="8"/>
        <v>0</v>
      </c>
      <c r="J22" s="154">
        <f t="shared" si="8"/>
        <v>0</v>
      </c>
      <c r="K22" s="154">
        <f t="shared" si="8"/>
        <v>0</v>
      </c>
      <c r="L22" s="154">
        <f t="shared" si="8"/>
        <v>0</v>
      </c>
      <c r="M22" s="154">
        <f t="shared" si="8"/>
        <v>0</v>
      </c>
      <c r="N22" s="155">
        <f t="shared" si="8"/>
        <v>0</v>
      </c>
      <c r="O22" s="148">
        <f t="shared" si="4"/>
        <v>0</v>
      </c>
    </row>
    <row r="23" spans="1:15" s="144" customFormat="1" ht="15" thickBot="1" x14ac:dyDescent="0.4">
      <c r="A23" s="142" t="s">
        <v>280</v>
      </c>
      <c r="B23" s="143"/>
      <c r="C23" s="156">
        <f>SUM(C16:C22)</f>
        <v>1.625</v>
      </c>
      <c r="D23" s="156">
        <f t="shared" ref="D23:N23" si="9">SUM(D16:D22)</f>
        <v>1.625</v>
      </c>
      <c r="E23" s="156">
        <f t="shared" si="9"/>
        <v>1.625</v>
      </c>
      <c r="F23" s="156">
        <f t="shared" si="9"/>
        <v>1.625</v>
      </c>
      <c r="G23" s="156">
        <f t="shared" si="9"/>
        <v>1.625</v>
      </c>
      <c r="H23" s="156">
        <f t="shared" si="9"/>
        <v>1.625</v>
      </c>
      <c r="I23" s="156">
        <f t="shared" si="9"/>
        <v>1.625</v>
      </c>
      <c r="J23" s="156">
        <f t="shared" si="9"/>
        <v>1.625</v>
      </c>
      <c r="K23" s="156">
        <f t="shared" si="9"/>
        <v>1.625</v>
      </c>
      <c r="L23" s="156">
        <f t="shared" si="9"/>
        <v>1.625</v>
      </c>
      <c r="M23" s="156">
        <f t="shared" si="9"/>
        <v>1.625</v>
      </c>
      <c r="N23" s="157">
        <f t="shared" si="9"/>
        <v>1.625</v>
      </c>
      <c r="O23" s="148">
        <f t="shared" si="4"/>
        <v>1.625</v>
      </c>
    </row>
    <row r="24" spans="1:15" s="144" customFormat="1" ht="15" thickTop="1" x14ac:dyDescent="0.35">
      <c r="A24" s="143"/>
      <c r="B24" s="143"/>
      <c r="C24" s="170">
        <f>C23/C45</f>
        <v>1</v>
      </c>
      <c r="D24" s="170">
        <f t="shared" ref="D24:N24" si="10">D23/D45</f>
        <v>1</v>
      </c>
      <c r="E24" s="170">
        <f t="shared" si="10"/>
        <v>1</v>
      </c>
      <c r="F24" s="170">
        <f t="shared" si="10"/>
        <v>1</v>
      </c>
      <c r="G24" s="170">
        <f t="shared" si="10"/>
        <v>1</v>
      </c>
      <c r="H24" s="170">
        <f t="shared" si="10"/>
        <v>1</v>
      </c>
      <c r="I24" s="170">
        <f t="shared" si="10"/>
        <v>1</v>
      </c>
      <c r="J24" s="170">
        <f t="shared" si="10"/>
        <v>1</v>
      </c>
      <c r="K24" s="170">
        <f t="shared" si="10"/>
        <v>1</v>
      </c>
      <c r="L24" s="170">
        <f t="shared" si="10"/>
        <v>1</v>
      </c>
      <c r="M24" s="170">
        <f t="shared" si="10"/>
        <v>1</v>
      </c>
      <c r="N24" s="170">
        <f t="shared" si="10"/>
        <v>1</v>
      </c>
      <c r="O24" s="148"/>
    </row>
    <row r="25" spans="1:15" x14ac:dyDescent="0.35">
      <c r="A25" s="241" t="s">
        <v>286</v>
      </c>
      <c r="B25" s="85"/>
      <c r="C25" s="242" t="str">
        <f>"Dienststelle 2: "&amp;Grunddaten!C17</f>
        <v>Dienststelle 2: BBB</v>
      </c>
      <c r="D25" s="243"/>
      <c r="E25" s="243"/>
      <c r="F25" s="243"/>
      <c r="G25" s="243"/>
      <c r="H25" s="243"/>
      <c r="I25" s="243"/>
      <c r="J25" s="243"/>
      <c r="K25" s="243"/>
      <c r="L25" s="243"/>
      <c r="M25" s="243"/>
      <c r="N25" s="244"/>
      <c r="O25" s="149"/>
    </row>
    <row r="26" spans="1:15" x14ac:dyDescent="0.35">
      <c r="A26" s="111" t="s">
        <v>95</v>
      </c>
      <c r="B26" s="111"/>
      <c r="C26" s="141">
        <v>0</v>
      </c>
      <c r="D26" s="141">
        <v>0</v>
      </c>
      <c r="E26" s="141">
        <v>0</v>
      </c>
      <c r="F26" s="141">
        <v>0</v>
      </c>
      <c r="G26" s="141">
        <v>0</v>
      </c>
      <c r="H26" s="141">
        <v>0</v>
      </c>
      <c r="I26" s="141">
        <v>0</v>
      </c>
      <c r="J26" s="141">
        <v>0</v>
      </c>
      <c r="K26" s="141">
        <v>0</v>
      </c>
      <c r="L26" s="141">
        <v>0</v>
      </c>
      <c r="M26" s="141">
        <v>0</v>
      </c>
      <c r="N26" s="141">
        <v>0</v>
      </c>
      <c r="O26" s="148">
        <f t="shared" ref="O26:O33" si="11">AVERAGE(C26:N26)</f>
        <v>0</v>
      </c>
    </row>
    <row r="27" spans="1:15" x14ac:dyDescent="0.35">
      <c r="A27" s="111" t="s">
        <v>96</v>
      </c>
      <c r="B27" s="111"/>
      <c r="C27" s="141">
        <v>0</v>
      </c>
      <c r="D27" s="141">
        <v>0</v>
      </c>
      <c r="E27" s="141">
        <v>0</v>
      </c>
      <c r="F27" s="141">
        <v>0</v>
      </c>
      <c r="G27" s="141">
        <v>0</v>
      </c>
      <c r="H27" s="141">
        <v>0</v>
      </c>
      <c r="I27" s="141">
        <v>0</v>
      </c>
      <c r="J27" s="141">
        <v>0</v>
      </c>
      <c r="K27" s="141">
        <v>0</v>
      </c>
      <c r="L27" s="141">
        <v>0</v>
      </c>
      <c r="M27" s="141">
        <v>0</v>
      </c>
      <c r="N27" s="141">
        <v>0</v>
      </c>
      <c r="O27" s="148">
        <f t="shared" si="11"/>
        <v>0</v>
      </c>
    </row>
    <row r="28" spans="1:15" x14ac:dyDescent="0.35">
      <c r="A28" s="111" t="s">
        <v>97</v>
      </c>
      <c r="B28" s="111"/>
      <c r="C28" s="141">
        <v>0</v>
      </c>
      <c r="D28" s="141">
        <v>0</v>
      </c>
      <c r="E28" s="141">
        <v>0</v>
      </c>
      <c r="F28" s="141">
        <v>0</v>
      </c>
      <c r="G28" s="141">
        <v>0</v>
      </c>
      <c r="H28" s="141">
        <v>0</v>
      </c>
      <c r="I28" s="141">
        <v>0</v>
      </c>
      <c r="J28" s="141">
        <v>0</v>
      </c>
      <c r="K28" s="141">
        <v>0</v>
      </c>
      <c r="L28" s="141">
        <v>0</v>
      </c>
      <c r="M28" s="141">
        <v>0</v>
      </c>
      <c r="N28" s="141">
        <v>0</v>
      </c>
      <c r="O28" s="148">
        <f t="shared" si="11"/>
        <v>0</v>
      </c>
    </row>
    <row r="29" spans="1:15" x14ac:dyDescent="0.35">
      <c r="A29" s="111" t="s">
        <v>98</v>
      </c>
      <c r="B29" s="111"/>
      <c r="C29" s="141">
        <v>0</v>
      </c>
      <c r="D29" s="141">
        <v>0</v>
      </c>
      <c r="E29" s="141">
        <v>0</v>
      </c>
      <c r="F29" s="141">
        <v>0</v>
      </c>
      <c r="G29" s="141">
        <v>0</v>
      </c>
      <c r="H29" s="141">
        <v>0</v>
      </c>
      <c r="I29" s="141">
        <v>0</v>
      </c>
      <c r="J29" s="141">
        <v>0</v>
      </c>
      <c r="K29" s="141">
        <v>0</v>
      </c>
      <c r="L29" s="141">
        <v>0</v>
      </c>
      <c r="M29" s="141">
        <v>0</v>
      </c>
      <c r="N29" s="141">
        <v>0</v>
      </c>
      <c r="O29" s="148">
        <f t="shared" si="11"/>
        <v>0</v>
      </c>
    </row>
    <row r="30" spans="1:15" x14ac:dyDescent="0.35">
      <c r="A30" s="111" t="s">
        <v>99</v>
      </c>
      <c r="B30" s="111"/>
      <c r="C30" s="141">
        <v>0</v>
      </c>
      <c r="D30" s="141">
        <v>0</v>
      </c>
      <c r="E30" s="141">
        <v>0</v>
      </c>
      <c r="F30" s="141">
        <v>0</v>
      </c>
      <c r="G30" s="141">
        <v>0</v>
      </c>
      <c r="H30" s="141">
        <v>0</v>
      </c>
      <c r="I30" s="141">
        <v>0</v>
      </c>
      <c r="J30" s="141">
        <v>0</v>
      </c>
      <c r="K30" s="141">
        <v>0</v>
      </c>
      <c r="L30" s="141">
        <v>0</v>
      </c>
      <c r="M30" s="141">
        <v>0</v>
      </c>
      <c r="N30" s="141">
        <v>0</v>
      </c>
      <c r="O30" s="148">
        <f t="shared" si="11"/>
        <v>0</v>
      </c>
    </row>
    <row r="31" spans="1:15" x14ac:dyDescent="0.35">
      <c r="A31" s="111" t="s">
        <v>100</v>
      </c>
      <c r="B31" s="111"/>
      <c r="C31" s="152">
        <v>0</v>
      </c>
      <c r="D31" s="152">
        <f>C31</f>
        <v>0</v>
      </c>
      <c r="E31" s="152">
        <f t="shared" ref="E31:E32" si="12">D31</f>
        <v>0</v>
      </c>
      <c r="F31" s="152">
        <f t="shared" ref="F31:F32" si="13">E31</f>
        <v>0</v>
      </c>
      <c r="G31" s="152">
        <f t="shared" ref="G31:G32" si="14">F31</f>
        <v>0</v>
      </c>
      <c r="H31" s="152">
        <f t="shared" ref="H31:H32" si="15">G31</f>
        <v>0</v>
      </c>
      <c r="I31" s="152">
        <f t="shared" ref="I31:I32" si="16">H31</f>
        <v>0</v>
      </c>
      <c r="J31" s="152">
        <f t="shared" ref="J31:J32" si="17">I31</f>
        <v>0</v>
      </c>
      <c r="K31" s="152">
        <f t="shared" ref="K31:K32" si="18">J31</f>
        <v>0</v>
      </c>
      <c r="L31" s="152">
        <f t="shared" ref="L31:L32" si="19">K31</f>
        <v>0</v>
      </c>
      <c r="M31" s="152">
        <f t="shared" ref="M31:M32" si="20">L31</f>
        <v>0</v>
      </c>
      <c r="N31" s="153">
        <f t="shared" ref="N31:N32" si="21">M31</f>
        <v>0</v>
      </c>
      <c r="O31" s="148">
        <f t="shared" si="11"/>
        <v>0</v>
      </c>
    </row>
    <row r="32" spans="1:15" x14ac:dyDescent="0.35">
      <c r="A32" s="111" t="s">
        <v>101</v>
      </c>
      <c r="B32" s="111"/>
      <c r="C32" s="154">
        <v>0</v>
      </c>
      <c r="D32" s="154">
        <f>C32</f>
        <v>0</v>
      </c>
      <c r="E32" s="154">
        <f t="shared" si="12"/>
        <v>0</v>
      </c>
      <c r="F32" s="154">
        <f t="shared" si="13"/>
        <v>0</v>
      </c>
      <c r="G32" s="154">
        <f t="shared" si="14"/>
        <v>0</v>
      </c>
      <c r="H32" s="154">
        <f t="shared" si="15"/>
        <v>0</v>
      </c>
      <c r="I32" s="154">
        <f t="shared" si="16"/>
        <v>0</v>
      </c>
      <c r="J32" s="154">
        <f t="shared" si="17"/>
        <v>0</v>
      </c>
      <c r="K32" s="154">
        <f t="shared" si="18"/>
        <v>0</v>
      </c>
      <c r="L32" s="154">
        <f t="shared" si="19"/>
        <v>0</v>
      </c>
      <c r="M32" s="154">
        <f t="shared" si="20"/>
        <v>0</v>
      </c>
      <c r="N32" s="155">
        <f t="shared" si="21"/>
        <v>0</v>
      </c>
      <c r="O32" s="148">
        <f t="shared" si="11"/>
        <v>0</v>
      </c>
    </row>
    <row r="33" spans="1:15" s="144" customFormat="1" ht="15" thickBot="1" x14ac:dyDescent="0.4">
      <c r="A33" s="142" t="s">
        <v>279</v>
      </c>
      <c r="B33" s="143"/>
      <c r="C33" s="156">
        <f t="shared" ref="C33:N33" si="22">SUM(C26:C32)</f>
        <v>0</v>
      </c>
      <c r="D33" s="156">
        <f t="shared" si="22"/>
        <v>0</v>
      </c>
      <c r="E33" s="156">
        <f t="shared" si="22"/>
        <v>0</v>
      </c>
      <c r="F33" s="156">
        <f t="shared" si="22"/>
        <v>0</v>
      </c>
      <c r="G33" s="156">
        <f t="shared" si="22"/>
        <v>0</v>
      </c>
      <c r="H33" s="156">
        <f t="shared" si="22"/>
        <v>0</v>
      </c>
      <c r="I33" s="156">
        <f t="shared" si="22"/>
        <v>0</v>
      </c>
      <c r="J33" s="156">
        <f t="shared" si="22"/>
        <v>0</v>
      </c>
      <c r="K33" s="156">
        <f t="shared" si="22"/>
        <v>0</v>
      </c>
      <c r="L33" s="156">
        <f t="shared" si="22"/>
        <v>0</v>
      </c>
      <c r="M33" s="156">
        <f t="shared" si="22"/>
        <v>0</v>
      </c>
      <c r="N33" s="157">
        <f t="shared" si="22"/>
        <v>0</v>
      </c>
      <c r="O33" s="148">
        <f t="shared" si="11"/>
        <v>0</v>
      </c>
    </row>
    <row r="34" spans="1:15" s="144" customFormat="1" ht="15" thickTop="1" x14ac:dyDescent="0.35">
      <c r="A34" s="143"/>
      <c r="B34" s="143"/>
      <c r="C34" s="170">
        <f>C33/C45</f>
        <v>0</v>
      </c>
      <c r="D34" s="170">
        <f t="shared" ref="D34:N34" si="23">D33/D45</f>
        <v>0</v>
      </c>
      <c r="E34" s="170">
        <f t="shared" si="23"/>
        <v>0</v>
      </c>
      <c r="F34" s="170">
        <f t="shared" si="23"/>
        <v>0</v>
      </c>
      <c r="G34" s="170">
        <f t="shared" si="23"/>
        <v>0</v>
      </c>
      <c r="H34" s="170">
        <f t="shared" si="23"/>
        <v>0</v>
      </c>
      <c r="I34" s="170">
        <f t="shared" si="23"/>
        <v>0</v>
      </c>
      <c r="J34" s="170">
        <f t="shared" si="23"/>
        <v>0</v>
      </c>
      <c r="K34" s="170">
        <f t="shared" si="23"/>
        <v>0</v>
      </c>
      <c r="L34" s="170">
        <f t="shared" si="23"/>
        <v>0</v>
      </c>
      <c r="M34" s="170">
        <f t="shared" si="23"/>
        <v>0</v>
      </c>
      <c r="N34" s="170">
        <f t="shared" si="23"/>
        <v>0</v>
      </c>
      <c r="O34" s="148"/>
    </row>
    <row r="35" spans="1:15" x14ac:dyDescent="0.35">
      <c r="A35" s="245" t="s">
        <v>286</v>
      </c>
      <c r="B35" s="85"/>
      <c r="C35" s="246" t="str">
        <f>"Dienststelle 3: "&amp;Grunddaten!C18</f>
        <v>Dienststelle 3: CCC</v>
      </c>
      <c r="D35" s="247"/>
      <c r="E35" s="247"/>
      <c r="F35" s="247"/>
      <c r="G35" s="247"/>
      <c r="H35" s="247"/>
      <c r="I35" s="247"/>
      <c r="J35" s="247"/>
      <c r="K35" s="247"/>
      <c r="L35" s="247"/>
      <c r="M35" s="247"/>
      <c r="N35" s="248"/>
      <c r="O35" s="149"/>
    </row>
    <row r="36" spans="1:15" x14ac:dyDescent="0.35">
      <c r="A36" s="111" t="s">
        <v>95</v>
      </c>
      <c r="B36" s="111"/>
      <c r="C36" s="141">
        <v>0</v>
      </c>
      <c r="D36" s="141">
        <v>0</v>
      </c>
      <c r="E36" s="141">
        <v>0</v>
      </c>
      <c r="F36" s="141">
        <v>0</v>
      </c>
      <c r="G36" s="141">
        <v>0</v>
      </c>
      <c r="H36" s="141">
        <v>0</v>
      </c>
      <c r="I36" s="141">
        <v>0</v>
      </c>
      <c r="J36" s="141">
        <v>0</v>
      </c>
      <c r="K36" s="141">
        <v>0</v>
      </c>
      <c r="L36" s="141">
        <v>0</v>
      </c>
      <c r="M36" s="141">
        <v>0</v>
      </c>
      <c r="N36" s="141">
        <v>0</v>
      </c>
      <c r="O36" s="148">
        <f t="shared" ref="O36:O43" si="24">AVERAGE(C36:N36)</f>
        <v>0</v>
      </c>
    </row>
    <row r="37" spans="1:15" x14ac:dyDescent="0.35">
      <c r="A37" s="111" t="s">
        <v>96</v>
      </c>
      <c r="B37" s="111"/>
      <c r="C37" s="141">
        <v>0</v>
      </c>
      <c r="D37" s="141">
        <v>0</v>
      </c>
      <c r="E37" s="141">
        <v>0</v>
      </c>
      <c r="F37" s="141">
        <v>0</v>
      </c>
      <c r="G37" s="141">
        <v>0</v>
      </c>
      <c r="H37" s="141">
        <v>0</v>
      </c>
      <c r="I37" s="141">
        <v>0</v>
      </c>
      <c r="J37" s="141">
        <v>0</v>
      </c>
      <c r="K37" s="141">
        <v>0</v>
      </c>
      <c r="L37" s="141">
        <v>0</v>
      </c>
      <c r="M37" s="141">
        <v>0</v>
      </c>
      <c r="N37" s="141">
        <v>0</v>
      </c>
      <c r="O37" s="148">
        <f t="shared" si="24"/>
        <v>0</v>
      </c>
    </row>
    <row r="38" spans="1:15" x14ac:dyDescent="0.35">
      <c r="A38" s="111" t="s">
        <v>97</v>
      </c>
      <c r="B38" s="111"/>
      <c r="C38" s="141">
        <v>0</v>
      </c>
      <c r="D38" s="141">
        <v>0</v>
      </c>
      <c r="E38" s="141">
        <v>0</v>
      </c>
      <c r="F38" s="141">
        <v>0</v>
      </c>
      <c r="G38" s="141">
        <v>0</v>
      </c>
      <c r="H38" s="141">
        <v>0</v>
      </c>
      <c r="I38" s="141">
        <v>0</v>
      </c>
      <c r="J38" s="141">
        <v>0</v>
      </c>
      <c r="K38" s="141">
        <v>0</v>
      </c>
      <c r="L38" s="141">
        <v>0</v>
      </c>
      <c r="M38" s="141">
        <v>0</v>
      </c>
      <c r="N38" s="141">
        <v>0</v>
      </c>
      <c r="O38" s="148">
        <f t="shared" si="24"/>
        <v>0</v>
      </c>
    </row>
    <row r="39" spans="1:15" x14ac:dyDescent="0.35">
      <c r="A39" s="111" t="s">
        <v>98</v>
      </c>
      <c r="B39" s="111"/>
      <c r="C39" s="141">
        <v>0</v>
      </c>
      <c r="D39" s="141">
        <v>0</v>
      </c>
      <c r="E39" s="141">
        <v>0</v>
      </c>
      <c r="F39" s="141">
        <v>0</v>
      </c>
      <c r="G39" s="141">
        <v>0</v>
      </c>
      <c r="H39" s="141">
        <v>0</v>
      </c>
      <c r="I39" s="141">
        <v>0</v>
      </c>
      <c r="J39" s="141">
        <v>0</v>
      </c>
      <c r="K39" s="141">
        <v>0</v>
      </c>
      <c r="L39" s="141">
        <v>0</v>
      </c>
      <c r="M39" s="141">
        <v>0</v>
      </c>
      <c r="N39" s="141">
        <v>0</v>
      </c>
      <c r="O39" s="148">
        <f t="shared" si="24"/>
        <v>0</v>
      </c>
    </row>
    <row r="40" spans="1:15" x14ac:dyDescent="0.35">
      <c r="A40" s="111" t="s">
        <v>99</v>
      </c>
      <c r="B40" s="111"/>
      <c r="C40" s="141">
        <v>0</v>
      </c>
      <c r="D40" s="141">
        <v>0</v>
      </c>
      <c r="E40" s="141">
        <v>0</v>
      </c>
      <c r="F40" s="141">
        <v>0</v>
      </c>
      <c r="G40" s="141">
        <v>0</v>
      </c>
      <c r="H40" s="141">
        <v>0</v>
      </c>
      <c r="I40" s="141">
        <v>0</v>
      </c>
      <c r="J40" s="141">
        <v>0</v>
      </c>
      <c r="K40" s="141">
        <v>0</v>
      </c>
      <c r="L40" s="141">
        <v>0</v>
      </c>
      <c r="M40" s="141">
        <v>0</v>
      </c>
      <c r="N40" s="141">
        <v>0</v>
      </c>
      <c r="O40" s="148">
        <f t="shared" si="24"/>
        <v>0</v>
      </c>
    </row>
    <row r="41" spans="1:15" x14ac:dyDescent="0.35">
      <c r="A41" s="111" t="s">
        <v>100</v>
      </c>
      <c r="B41" s="111"/>
      <c r="C41" s="152">
        <v>0</v>
      </c>
      <c r="D41" s="152">
        <f>C41</f>
        <v>0</v>
      </c>
      <c r="E41" s="152">
        <f t="shared" ref="E41:E42" si="25">D41</f>
        <v>0</v>
      </c>
      <c r="F41" s="152">
        <f t="shared" ref="F41:F42" si="26">E41</f>
        <v>0</v>
      </c>
      <c r="G41" s="152">
        <f t="shared" ref="G41:G42" si="27">F41</f>
        <v>0</v>
      </c>
      <c r="H41" s="152">
        <f t="shared" ref="H41:H42" si="28">G41</f>
        <v>0</v>
      </c>
      <c r="I41" s="152">
        <f t="shared" ref="I41:I42" si="29">H41</f>
        <v>0</v>
      </c>
      <c r="J41" s="152">
        <f t="shared" ref="J41:J42" si="30">I41</f>
        <v>0</v>
      </c>
      <c r="K41" s="152">
        <f t="shared" ref="K41:K42" si="31">J41</f>
        <v>0</v>
      </c>
      <c r="L41" s="152">
        <f t="shared" ref="L41:L42" si="32">K41</f>
        <v>0</v>
      </c>
      <c r="M41" s="152">
        <f t="shared" ref="M41:M42" si="33">L41</f>
        <v>0</v>
      </c>
      <c r="N41" s="153">
        <f t="shared" ref="N41:N42" si="34">M41</f>
        <v>0</v>
      </c>
      <c r="O41" s="148">
        <f t="shared" si="24"/>
        <v>0</v>
      </c>
    </row>
    <row r="42" spans="1:15" x14ac:dyDescent="0.35">
      <c r="A42" s="111" t="s">
        <v>101</v>
      </c>
      <c r="B42" s="111"/>
      <c r="C42" s="154">
        <v>0</v>
      </c>
      <c r="D42" s="154">
        <f>C42</f>
        <v>0</v>
      </c>
      <c r="E42" s="154">
        <f t="shared" si="25"/>
        <v>0</v>
      </c>
      <c r="F42" s="154">
        <f t="shared" si="26"/>
        <v>0</v>
      </c>
      <c r="G42" s="154">
        <f t="shared" si="27"/>
        <v>0</v>
      </c>
      <c r="H42" s="154">
        <f t="shared" si="28"/>
        <v>0</v>
      </c>
      <c r="I42" s="154">
        <f t="shared" si="29"/>
        <v>0</v>
      </c>
      <c r="J42" s="154">
        <f t="shared" si="30"/>
        <v>0</v>
      </c>
      <c r="K42" s="154">
        <f t="shared" si="31"/>
        <v>0</v>
      </c>
      <c r="L42" s="154">
        <f t="shared" si="32"/>
        <v>0</v>
      </c>
      <c r="M42" s="154">
        <f t="shared" si="33"/>
        <v>0</v>
      </c>
      <c r="N42" s="155">
        <f t="shared" si="34"/>
        <v>0</v>
      </c>
      <c r="O42" s="148">
        <f t="shared" si="24"/>
        <v>0</v>
      </c>
    </row>
    <row r="43" spans="1:15" s="144" customFormat="1" ht="15" thickBot="1" x14ac:dyDescent="0.4">
      <c r="A43" s="142" t="s">
        <v>283</v>
      </c>
      <c r="B43" s="143"/>
      <c r="C43" s="156">
        <f>SUM(C36:C42)</f>
        <v>0</v>
      </c>
      <c r="D43" s="156">
        <f t="shared" ref="D43:N43" si="35">SUM(D36:D42)</f>
        <v>0</v>
      </c>
      <c r="E43" s="156">
        <f t="shared" si="35"/>
        <v>0</v>
      </c>
      <c r="F43" s="156">
        <f t="shared" si="35"/>
        <v>0</v>
      </c>
      <c r="G43" s="156">
        <f t="shared" si="35"/>
        <v>0</v>
      </c>
      <c r="H43" s="156">
        <f t="shared" si="35"/>
        <v>0</v>
      </c>
      <c r="I43" s="156">
        <f t="shared" si="35"/>
        <v>0</v>
      </c>
      <c r="J43" s="156">
        <f t="shared" si="35"/>
        <v>0</v>
      </c>
      <c r="K43" s="156">
        <f t="shared" si="35"/>
        <v>0</v>
      </c>
      <c r="L43" s="156">
        <f t="shared" si="35"/>
        <v>0</v>
      </c>
      <c r="M43" s="156">
        <f t="shared" si="35"/>
        <v>0</v>
      </c>
      <c r="N43" s="157">
        <f t="shared" si="35"/>
        <v>0</v>
      </c>
      <c r="O43" s="148">
        <f t="shared" si="24"/>
        <v>0</v>
      </c>
    </row>
    <row r="44" spans="1:15" s="144" customFormat="1" ht="15" thickTop="1" x14ac:dyDescent="0.35">
      <c r="A44" s="143"/>
      <c r="B44" s="143"/>
      <c r="C44" s="170">
        <f>C43/C45</f>
        <v>0</v>
      </c>
      <c r="D44" s="170">
        <f t="shared" ref="D44:N44" si="36">D43/D45</f>
        <v>0</v>
      </c>
      <c r="E44" s="170">
        <f t="shared" si="36"/>
        <v>0</v>
      </c>
      <c r="F44" s="170">
        <f t="shared" si="36"/>
        <v>0</v>
      </c>
      <c r="G44" s="170">
        <f t="shared" si="36"/>
        <v>0</v>
      </c>
      <c r="H44" s="170">
        <f t="shared" si="36"/>
        <v>0</v>
      </c>
      <c r="I44" s="170">
        <f t="shared" si="36"/>
        <v>0</v>
      </c>
      <c r="J44" s="170">
        <f t="shared" si="36"/>
        <v>0</v>
      </c>
      <c r="K44" s="170">
        <f t="shared" si="36"/>
        <v>0</v>
      </c>
      <c r="L44" s="170">
        <f t="shared" si="36"/>
        <v>0</v>
      </c>
      <c r="M44" s="170">
        <f t="shared" si="36"/>
        <v>0</v>
      </c>
      <c r="N44" s="170">
        <f t="shared" si="36"/>
        <v>0</v>
      </c>
      <c r="O44" s="149"/>
    </row>
    <row r="45" spans="1:15" ht="15" thickBot="1" x14ac:dyDescent="0.4">
      <c r="A45" s="85" t="s">
        <v>94</v>
      </c>
      <c r="B45" s="85"/>
      <c r="C45" s="159">
        <f>C23+C33+C43</f>
        <v>1.625</v>
      </c>
      <c r="D45" s="159">
        <f t="shared" ref="D45:N45" si="37">D23+D33+D43</f>
        <v>1.625</v>
      </c>
      <c r="E45" s="159">
        <f t="shared" si="37"/>
        <v>1.625</v>
      </c>
      <c r="F45" s="159">
        <f t="shared" si="37"/>
        <v>1.625</v>
      </c>
      <c r="G45" s="159">
        <f t="shared" si="37"/>
        <v>1.625</v>
      </c>
      <c r="H45" s="159">
        <f t="shared" si="37"/>
        <v>1.625</v>
      </c>
      <c r="I45" s="159">
        <f t="shared" si="37"/>
        <v>1.625</v>
      </c>
      <c r="J45" s="159">
        <f t="shared" si="37"/>
        <v>1.625</v>
      </c>
      <c r="K45" s="159">
        <f t="shared" si="37"/>
        <v>1.625</v>
      </c>
      <c r="L45" s="159">
        <f t="shared" si="37"/>
        <v>1.625</v>
      </c>
      <c r="M45" s="159">
        <f t="shared" si="37"/>
        <v>1.625</v>
      </c>
      <c r="N45" s="160">
        <f t="shared" si="37"/>
        <v>1.625</v>
      </c>
      <c r="O45" s="148">
        <f t="shared" ref="O45" si="38">AVERAGE(C45:N45)</f>
        <v>1.625</v>
      </c>
    </row>
    <row r="46" spans="1:15" s="144" customFormat="1" ht="15" thickTop="1" x14ac:dyDescent="0.35">
      <c r="A46" s="143" t="s">
        <v>284</v>
      </c>
      <c r="B46" s="143"/>
      <c r="C46" s="145" t="str">
        <f t="shared" ref="C46:N46" si="39">IF(C11=C45,"OK","PRÜFEN")</f>
        <v>OK</v>
      </c>
      <c r="D46" s="145" t="str">
        <f t="shared" si="39"/>
        <v>OK</v>
      </c>
      <c r="E46" s="145" t="str">
        <f t="shared" si="39"/>
        <v>OK</v>
      </c>
      <c r="F46" s="145" t="str">
        <f t="shared" si="39"/>
        <v>OK</v>
      </c>
      <c r="G46" s="145" t="str">
        <f t="shared" si="39"/>
        <v>OK</v>
      </c>
      <c r="H46" s="145" t="str">
        <f t="shared" si="39"/>
        <v>OK</v>
      </c>
      <c r="I46" s="145" t="str">
        <f t="shared" si="39"/>
        <v>OK</v>
      </c>
      <c r="J46" s="145" t="str">
        <f t="shared" si="39"/>
        <v>OK</v>
      </c>
      <c r="K46" s="145" t="str">
        <f t="shared" si="39"/>
        <v>OK</v>
      </c>
      <c r="L46" s="145" t="str">
        <f t="shared" si="39"/>
        <v>OK</v>
      </c>
      <c r="M46" s="145" t="str">
        <f t="shared" si="39"/>
        <v>OK</v>
      </c>
      <c r="N46" s="145" t="str">
        <f t="shared" si="39"/>
        <v>OK</v>
      </c>
      <c r="O46" s="148"/>
    </row>
    <row r="47" spans="1:15" x14ac:dyDescent="0.35">
      <c r="A47" s="85"/>
      <c r="B47" s="85"/>
      <c r="C47" s="89"/>
      <c r="D47" s="89"/>
      <c r="E47" s="89"/>
      <c r="F47" s="89"/>
      <c r="G47" s="89"/>
      <c r="H47" s="89"/>
      <c r="I47" s="89"/>
      <c r="J47" s="89"/>
      <c r="K47" s="89"/>
      <c r="L47" s="89"/>
      <c r="M47" s="89"/>
      <c r="N47" s="89"/>
      <c r="O47" s="150"/>
    </row>
    <row r="48" spans="1:15" x14ac:dyDescent="0.35">
      <c r="A48" s="90" t="s">
        <v>102</v>
      </c>
      <c r="B48" s="90"/>
      <c r="C48" s="168">
        <f>(C23+C33+C43)/(39/24)</f>
        <v>1</v>
      </c>
      <c r="D48" s="168">
        <f t="shared" ref="D48:N48" si="40">(D23+D33+D43)/(39/24)</f>
        <v>1</v>
      </c>
      <c r="E48" s="168">
        <f t="shared" si="40"/>
        <v>1</v>
      </c>
      <c r="F48" s="168">
        <f t="shared" si="40"/>
        <v>1</v>
      </c>
      <c r="G48" s="168">
        <f t="shared" si="40"/>
        <v>1</v>
      </c>
      <c r="H48" s="168">
        <f t="shared" si="40"/>
        <v>1</v>
      </c>
      <c r="I48" s="168">
        <f t="shared" si="40"/>
        <v>1</v>
      </c>
      <c r="J48" s="168">
        <f t="shared" si="40"/>
        <v>1</v>
      </c>
      <c r="K48" s="168">
        <f t="shared" si="40"/>
        <v>1</v>
      </c>
      <c r="L48" s="168">
        <f t="shared" si="40"/>
        <v>1</v>
      </c>
      <c r="M48" s="168">
        <f t="shared" si="40"/>
        <v>1</v>
      </c>
      <c r="N48" s="169">
        <f t="shared" si="40"/>
        <v>1</v>
      </c>
      <c r="O48" s="151">
        <f t="shared" si="4"/>
        <v>1</v>
      </c>
    </row>
    <row r="49" spans="1:15" x14ac:dyDescent="0.35">
      <c r="A49" s="90"/>
      <c r="B49" s="90"/>
      <c r="C49" s="91"/>
      <c r="D49" s="91"/>
      <c r="E49" s="91"/>
      <c r="F49" s="91"/>
      <c r="G49" s="91"/>
      <c r="H49" s="91"/>
      <c r="I49" s="91"/>
      <c r="J49" s="91"/>
      <c r="K49" s="91"/>
      <c r="L49" s="91"/>
      <c r="M49" s="91"/>
      <c r="N49" s="91"/>
      <c r="O49" s="161"/>
    </row>
  </sheetData>
  <sheetProtection sheet="1" selectLockedCells="1"/>
  <mergeCells count="1">
    <mergeCell ref="A1:O6"/>
  </mergeCells>
  <conditionalFormatting sqref="C46:N46">
    <cfRule type="expression" dxfId="138" priority="2">
      <formula>C$46="PRÜFEN"</formula>
    </cfRule>
  </conditionalFormatting>
  <dataValidations xWindow="566" yWindow="313" count="3">
    <dataValidation type="time" allowBlank="1" showInputMessage="1" showErrorMessage="1" errorTitle="Fehlerhaftes Eingabeformat" error="Bitte erfassen Sie hier die tägliche Arbeitszeit (Format hh:mm). Bitte wiederholen Sie Ihre Eingabe. Danke." promptTitle="Eingabeformat" prompt="Bitte erfassen Sie hier die tägliche Arbeitszeit (Format hh:mm). Danke." sqref="C36:N42 C16:N22 C26:N32 C10:N10" xr:uid="{00000000-0002-0000-0300-000000000000}">
      <formula1>0</formula1>
      <formula2>0.416666666666667</formula2>
    </dataValidation>
    <dataValidation type="decimal" allowBlank="1" showInputMessage="1" showErrorMessage="1" errorTitle="Fehlerhaftes Eingabeformat" error="Bitte erfassen Sie hier einen gültigen Wert von 1 bis 7 Tagen. Bitte wiederholen Sie Ihre Eingabe. Danke." promptTitle="Eingabeformat" prompt="Bitte erfassen Sie hier einen gültigen Wert von 1 bis 7 Tagen. Danke." sqref="C9:N9" xr:uid="{00000000-0002-0000-0300-000001000000}">
      <formula1>1</formula1>
      <formula2>7</formula2>
    </dataValidation>
    <dataValidation type="list" allowBlank="1" showInputMessage="1" showErrorMessage="1" sqref="C12:N12" xr:uid="{00000000-0002-0000-0300-000002000000}">
      <formula1>"5,6"</formula1>
    </dataValidation>
  </dataValidations>
  <pageMargins left="0.7" right="0.7" top="0.78740157499999996" bottom="0.78740157499999996" header="0.3" footer="0.3"/>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tabColor theme="7" tint="0.79998168889431442"/>
    <pageSetUpPr fitToPage="1"/>
  </sheetPr>
  <dimension ref="A1:AN68"/>
  <sheetViews>
    <sheetView showGridLines="0" tabSelected="1" view="pageLayout" topLeftCell="I1" zoomScaleNormal="75" workbookViewId="0">
      <selection activeCell="AK8" sqref="AK8"/>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190"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198"/>
      <c r="AG2" s="199"/>
    </row>
    <row r="3" spans="1:40" s="187" customFormat="1" ht="17.5" x14ac:dyDescent="0.35">
      <c r="A3" s="186" t="s">
        <v>29</v>
      </c>
      <c r="B3" s="186"/>
      <c r="C3" s="186"/>
      <c r="F3" s="187" t="str">
        <f>Grunddaten!C11</f>
        <v>Muster</v>
      </c>
      <c r="V3" s="281"/>
      <c r="W3" s="281"/>
      <c r="X3" s="281"/>
      <c r="Y3" s="281"/>
      <c r="AE3" s="198"/>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193"/>
      <c r="AF4" s="194">
        <f>Grunddaten!$C$12</f>
        <v>12345</v>
      </c>
      <c r="AG4" s="195"/>
      <c r="AH4" s="465" t="s">
        <v>282</v>
      </c>
      <c r="AI4" s="465"/>
      <c r="AJ4" s="465"/>
    </row>
    <row r="5" spans="1:40" x14ac:dyDescent="0.25">
      <c r="D5" s="185"/>
    </row>
    <row r="6" spans="1:40" ht="18" x14ac:dyDescent="0.4">
      <c r="A6" s="196" t="s">
        <v>140</v>
      </c>
      <c r="D6" s="197" t="s">
        <v>141</v>
      </c>
      <c r="G6" s="197">
        <f>Grunddaten!$G$9</f>
        <v>2025</v>
      </c>
      <c r="K6" s="186"/>
      <c r="L6" s="186"/>
      <c r="M6" s="186"/>
      <c r="N6" s="186"/>
      <c r="O6" s="187"/>
      <c r="P6" s="197"/>
      <c r="Q6" s="197"/>
      <c r="T6" s="197"/>
      <c r="U6" s="197"/>
      <c r="AD6" s="187"/>
      <c r="AE6" s="198"/>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1</v>
      </c>
      <c r="B9" s="283" t="str">
        <f>IF(WEEKDAY($C9,1)=1,"So.",IF(WEEKDAY($C9,1)=2,"Mo.",IF(WEEKDAY($C9,1)=3,"Di.",IF(WEEKDAY($C9,1)=4,"Mi.",IF(WEEKDAY($C9,1)=5,"Do.",IF(WEEKDAY($C9,1)=6,"Fr.","Sa."))))))</f>
        <v>Mi.</v>
      </c>
      <c r="C9" s="295">
        <f>DATE(Grunddaten!G9,1,1)</f>
        <v>45658</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9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0</v>
      </c>
      <c r="AF9" s="292" t="str">
        <f>IFERROR(VLOOKUP($C9,Grunddaten!$F$36:$G$59,2,0),"")</f>
        <v>Neujahrstag</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1</v>
      </c>
      <c r="B10" s="283" t="str">
        <f t="shared" ref="B10:B39" si="4">IF(WEEKDAY($C10,1)=1,"So.",IF(WEEKDAY($C10,1)=2,"Mo.",IF(WEEKDAY($C10,1)=3,"Di.",IF(WEEKDAY($C10,1)=4,"Mi.",IF(WEEKDAY($C10,1)=5,"Do.",IF(WEEKDAY($C10,1)=6,"Fr.","Sa."))))))</f>
        <v>Do.</v>
      </c>
      <c r="C10" s="295">
        <f>C9+1</f>
        <v>45659</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9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-7.8000000000000007</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1</v>
      </c>
      <c r="B11" s="283" t="str">
        <f t="shared" si="4"/>
        <v>Fr.</v>
      </c>
      <c r="C11" s="295">
        <f t="shared" ref="C11:C39" si="10">C10+1</f>
        <v>45660</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-15.600000000000001</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1</v>
      </c>
      <c r="B12" s="283" t="str">
        <f t="shared" si="4"/>
        <v>Sa.</v>
      </c>
      <c r="C12" s="295">
        <f t="shared" si="10"/>
        <v>45661</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v>
      </c>
      <c r="AE12" s="290">
        <f t="shared" si="11"/>
        <v>-15.600000000000001</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2</v>
      </c>
      <c r="B13" s="283" t="str">
        <f t="shared" si="4"/>
        <v>So.</v>
      </c>
      <c r="C13" s="295">
        <f t="shared" si="10"/>
        <v>45662</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v>
      </c>
      <c r="AE13" s="290">
        <f t="shared" si="11"/>
        <v>-15.600000000000001</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2</v>
      </c>
      <c r="B14" s="283" t="str">
        <f t="shared" si="4"/>
        <v>Mo.</v>
      </c>
      <c r="C14" s="295">
        <f t="shared" si="10"/>
        <v>45663</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v>
      </c>
      <c r="AE14" s="290">
        <f t="shared" si="11"/>
        <v>-15.600000000000001</v>
      </c>
      <c r="AF14" s="292" t="str">
        <f>IFERROR(VLOOKUP($C14,Grunddaten!$F$36:$G$59,2,0),"")</f>
        <v>Hl. Drei König</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2</v>
      </c>
      <c r="B15" s="283" t="str">
        <f t="shared" si="4"/>
        <v>Di.</v>
      </c>
      <c r="C15" s="295">
        <f t="shared" si="10"/>
        <v>45664</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-23.400000000000002</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2</v>
      </c>
      <c r="B16" s="283" t="str">
        <f t="shared" si="4"/>
        <v>Mi.</v>
      </c>
      <c r="C16" s="295">
        <f t="shared" si="10"/>
        <v>45665</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-31.200000000000003</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2</v>
      </c>
      <c r="B17" s="283" t="str">
        <f t="shared" si="4"/>
        <v>Do.</v>
      </c>
      <c r="C17" s="295">
        <f t="shared" si="10"/>
        <v>45666</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-39</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2</v>
      </c>
      <c r="B18" s="283" t="str">
        <f t="shared" si="4"/>
        <v>Fr.</v>
      </c>
      <c r="C18" s="295">
        <f t="shared" si="10"/>
        <v>45667</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-46.8</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2</v>
      </c>
      <c r="B19" s="283" t="str">
        <f t="shared" si="4"/>
        <v>Sa.</v>
      </c>
      <c r="C19" s="295">
        <f t="shared" si="10"/>
        <v>45668</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v>
      </c>
      <c r="AE19" s="290">
        <f t="shared" si="11"/>
        <v>-46.8</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3</v>
      </c>
      <c r="B20" s="283" t="str">
        <f t="shared" si="4"/>
        <v>So.</v>
      </c>
      <c r="C20" s="295">
        <f t="shared" si="10"/>
        <v>45669</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v>
      </c>
      <c r="AE20" s="290">
        <f t="shared" si="11"/>
        <v>-46.8</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3</v>
      </c>
      <c r="B21" s="283" t="str">
        <f t="shared" si="4"/>
        <v>Mo.</v>
      </c>
      <c r="C21" s="295">
        <f t="shared" si="10"/>
        <v>45670</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-54.599999999999994</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3</v>
      </c>
      <c r="B22" s="283" t="str">
        <f t="shared" si="4"/>
        <v>Di.</v>
      </c>
      <c r="C22" s="295">
        <f t="shared" si="10"/>
        <v>45671</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-62.399999999999991</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3</v>
      </c>
      <c r="B23" s="283" t="str">
        <f t="shared" si="4"/>
        <v>Mi.</v>
      </c>
      <c r="C23" s="295">
        <f t="shared" si="10"/>
        <v>45672</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-70.199999999999989</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3</v>
      </c>
      <c r="B24" s="283" t="str">
        <f t="shared" si="4"/>
        <v>Do.</v>
      </c>
      <c r="C24" s="295">
        <f t="shared" si="10"/>
        <v>45673</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-77.999999999999986</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3</v>
      </c>
      <c r="B25" s="283" t="str">
        <f t="shared" si="4"/>
        <v>Fr.</v>
      </c>
      <c r="C25" s="295">
        <f t="shared" si="10"/>
        <v>45674</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-85.799999999999983</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3</v>
      </c>
      <c r="B26" s="283" t="str">
        <f t="shared" si="4"/>
        <v>Sa.</v>
      </c>
      <c r="C26" s="295">
        <f t="shared" si="10"/>
        <v>45675</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v>
      </c>
      <c r="AE26" s="290">
        <f t="shared" si="11"/>
        <v>-85.799999999999983</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4</v>
      </c>
      <c r="B27" s="283" t="str">
        <f t="shared" si="4"/>
        <v>So.</v>
      </c>
      <c r="C27" s="295">
        <f t="shared" si="10"/>
        <v>45676</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v>
      </c>
      <c r="AE27" s="290">
        <f t="shared" si="11"/>
        <v>-85.799999999999983</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4</v>
      </c>
      <c r="B28" s="283" t="str">
        <f t="shared" si="4"/>
        <v>Mo.</v>
      </c>
      <c r="C28" s="295">
        <f t="shared" si="10"/>
        <v>45677</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-93.59999999999998</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4</v>
      </c>
      <c r="B29" s="283" t="str">
        <f t="shared" si="4"/>
        <v>Di.</v>
      </c>
      <c r="C29" s="295">
        <f t="shared" si="10"/>
        <v>45678</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-101.39999999999998</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4</v>
      </c>
      <c r="B30" s="283" t="str">
        <f t="shared" si="4"/>
        <v>Mi.</v>
      </c>
      <c r="C30" s="295">
        <f t="shared" si="10"/>
        <v>45679</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-109.19999999999997</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4</v>
      </c>
      <c r="B31" s="283" t="str">
        <f t="shared" si="4"/>
        <v>Do.</v>
      </c>
      <c r="C31" s="295">
        <f t="shared" si="10"/>
        <v>45680</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-116.99999999999997</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4</v>
      </c>
      <c r="B32" s="283" t="str">
        <f t="shared" si="4"/>
        <v>Fr.</v>
      </c>
      <c r="C32" s="295">
        <f t="shared" si="10"/>
        <v>45681</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-124.79999999999997</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4</v>
      </c>
      <c r="B33" s="283" t="str">
        <f t="shared" si="4"/>
        <v>Sa.</v>
      </c>
      <c r="C33" s="295">
        <f t="shared" si="10"/>
        <v>45682</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v>
      </c>
      <c r="AE33" s="290">
        <f t="shared" si="11"/>
        <v>-124.79999999999997</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5</v>
      </c>
      <c r="B34" s="283" t="str">
        <f t="shared" si="4"/>
        <v>So.</v>
      </c>
      <c r="C34" s="295">
        <f t="shared" si="10"/>
        <v>45683</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v>
      </c>
      <c r="AE34" s="290">
        <f t="shared" si="11"/>
        <v>-124.79999999999997</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5</v>
      </c>
      <c r="B35" s="283" t="str">
        <f t="shared" si="4"/>
        <v>Mo.</v>
      </c>
      <c r="C35" s="295">
        <f t="shared" si="10"/>
        <v>45684</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-132.59999999999997</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5</v>
      </c>
      <c r="B36" s="283" t="str">
        <f t="shared" si="4"/>
        <v>Di.</v>
      </c>
      <c r="C36" s="295">
        <f t="shared" si="10"/>
        <v>45685</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-140.39999999999998</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5</v>
      </c>
      <c r="B37" s="283" t="str">
        <f t="shared" si="4"/>
        <v>Mi.</v>
      </c>
      <c r="C37" s="295">
        <f t="shared" si="10"/>
        <v>45686</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-148.19999999999999</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5</v>
      </c>
      <c r="B38" s="283" t="str">
        <f t="shared" si="4"/>
        <v>Do.</v>
      </c>
      <c r="C38" s="295">
        <f t="shared" si="10"/>
        <v>45687</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-156</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5</v>
      </c>
      <c r="B39" s="283" t="str">
        <f t="shared" si="4"/>
        <v>Fr.</v>
      </c>
      <c r="C39" s="295">
        <f t="shared" si="10"/>
        <v>45688</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0.32500000000000001</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0.32500000000000001</v>
      </c>
      <c r="AE39" s="290">
        <f t="shared" si="11"/>
        <v>-163.80000000000001</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X40" si="12">SUM(V9:V39)</f>
        <v>0</v>
      </c>
      <c r="W40" s="336"/>
      <c r="X40" s="336">
        <f t="shared" si="12"/>
        <v>0</v>
      </c>
      <c r="Y40" s="338">
        <f>SUM(Y9:Y39)</f>
        <v>0</v>
      </c>
      <c r="Z40" s="336">
        <f>SUM(Z9:Z39)</f>
        <v>0</v>
      </c>
      <c r="AA40" s="336">
        <f t="shared" ref="AA40:AB40" si="13">SUM(AA9:AA39)</f>
        <v>6.825000000000002</v>
      </c>
      <c r="AB40" s="336">
        <f t="shared" si="13"/>
        <v>0</v>
      </c>
      <c r="AC40" s="336">
        <f t="shared" ref="AC40" si="14">SUM(AC9:AC39)</f>
        <v>0</v>
      </c>
      <c r="AD40" s="336">
        <f>SUM(AD9:AD39)</f>
        <v>6.825000000000002</v>
      </c>
      <c r="AE40" s="342">
        <f>(Z40-AD40)*24+I44</f>
        <v>-163.80000000000004</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04"/>
      <c r="AG41" s="205"/>
    </row>
    <row r="42" spans="1:40" s="206" customFormat="1" ht="15" customHeight="1" x14ac:dyDescent="0.3">
      <c r="A42" s="436" t="s">
        <v>161</v>
      </c>
      <c r="B42" s="437"/>
      <c r="C42" s="437"/>
      <c r="D42" s="437"/>
      <c r="E42" s="437"/>
      <c r="F42" s="437"/>
      <c r="G42" s="438"/>
      <c r="H42" s="347" t="s">
        <v>155</v>
      </c>
      <c r="I42" s="448" t="s">
        <v>107</v>
      </c>
      <c r="J42" s="449"/>
      <c r="L42" s="207" t="s">
        <v>162</v>
      </c>
      <c r="U42" s="208"/>
      <c r="V42" s="208"/>
      <c r="W42" s="209"/>
      <c r="X42" s="210"/>
      <c r="Y42" s="210"/>
      <c r="AE42" s="211"/>
      <c r="AG42" s="318" t="s">
        <v>167</v>
      </c>
      <c r="AH42" s="319"/>
      <c r="AI42" s="320"/>
      <c r="AJ42" s="320"/>
      <c r="AK42" s="321" t="s">
        <v>304</v>
      </c>
      <c r="AL42" s="322" t="str">
        <f>$D$6</f>
        <v>JANUAR</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6.825000000000002</v>
      </c>
      <c r="I43" s="430">
        <f>(Z40-AD40)*24</f>
        <v>-163.80000000000004</v>
      </c>
      <c r="J43" s="431"/>
      <c r="L43" s="208" t="s">
        <v>163</v>
      </c>
      <c r="P43" s="213">
        <f>'AZ-Modell'!C9</f>
        <v>5</v>
      </c>
      <c r="U43" s="214"/>
      <c r="V43" s="214"/>
      <c r="W43" s="214"/>
      <c r="AE43" s="215"/>
      <c r="AG43" s="457" t="s">
        <v>32</v>
      </c>
      <c r="AH43" s="458"/>
      <c r="AI43" s="297"/>
      <c r="AJ43" s="297"/>
      <c r="AK43" s="298">
        <v>0</v>
      </c>
      <c r="AL43" s="298">
        <f>COUNTIF($AF9:$AF39,$AG43)</f>
        <v>0</v>
      </c>
      <c r="AM43" s="455">
        <f>SUM(AK43:AL43)</f>
        <v>0</v>
      </c>
      <c r="AN43" s="456"/>
    </row>
    <row r="44" spans="1:40" s="208" customFormat="1" ht="15" customHeight="1" x14ac:dyDescent="0.3">
      <c r="A44" s="439" t="str">
        <f>IF(I44&lt;0,"Zeitdefizit Vormonat","Zeitguthaben Vormonat")</f>
        <v>Zeitguthaben Vormonat</v>
      </c>
      <c r="B44" s="440"/>
      <c r="C44" s="440"/>
      <c r="D44" s="440"/>
      <c r="E44" s="440"/>
      <c r="F44" s="440"/>
      <c r="G44" s="441"/>
      <c r="H44" s="218">
        <f>IF(I44&lt;0,I44*-1/24,I44/24)</f>
        <v>0</v>
      </c>
      <c r="I44" s="430">
        <f>Grunddaten!C35</f>
        <v>0</v>
      </c>
      <c r="J44" s="431"/>
      <c r="L44" s="208" t="s">
        <v>164</v>
      </c>
      <c r="P44" s="220">
        <f>'AZ-Modell'!C11</f>
        <v>1.625</v>
      </c>
      <c r="U44" s="214"/>
      <c r="V44" s="214"/>
      <c r="W44" s="214"/>
      <c r="AE44" s="215"/>
      <c r="AG44" s="457" t="s">
        <v>41</v>
      </c>
      <c r="AH44" s="458"/>
      <c r="AI44" s="297"/>
      <c r="AJ44" s="297"/>
      <c r="AK44" s="298">
        <v>0</v>
      </c>
      <c r="AL44" s="298">
        <f>COUNTIF($AF10:$AF40,$AG44)</f>
        <v>0</v>
      </c>
      <c r="AM44" s="455">
        <f>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15"/>
      <c r="AG45" s="323" t="s">
        <v>43</v>
      </c>
      <c r="AH45" s="299"/>
      <c r="AI45" s="297"/>
      <c r="AJ45" s="297"/>
      <c r="AK45" s="298">
        <v>0</v>
      </c>
      <c r="AL45" s="298">
        <f t="shared" ref="AL45:AL46" si="15">COUNTIF($AF11:$AF41,$AG45)</f>
        <v>0</v>
      </c>
      <c r="AM45" s="455">
        <f t="shared" ref="AM45:AM46" si="16">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6.825000000000002</v>
      </c>
      <c r="I46" s="432">
        <f>SUM(I43:I45)</f>
        <v>-163.80000000000004</v>
      </c>
      <c r="J46" s="433"/>
      <c r="L46" s="450" t="str">
        <f ca="1">IF(P46&lt;&gt;"","Hinweis:","")</f>
        <v>Hinweis:</v>
      </c>
      <c r="M46" s="450"/>
      <c r="N46" s="450"/>
      <c r="O46" s="450"/>
      <c r="P46" s="475"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v>0</v>
      </c>
      <c r="AL46" s="298">
        <f t="shared" si="15"/>
        <v>0</v>
      </c>
      <c r="AM46" s="455">
        <f t="shared" si="16"/>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v>0</v>
      </c>
      <c r="AL47" s="298">
        <f>COUNTIF($AF13:$AF42,$AG47)</f>
        <v>0</v>
      </c>
      <c r="AM47" s="455">
        <f>SUM(AK47:AL47)</f>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15"/>
      <c r="AF48" s="208"/>
      <c r="AG48" s="473" t="s">
        <v>39</v>
      </c>
      <c r="AH48" s="474"/>
      <c r="AI48" s="346"/>
      <c r="AJ48" s="346"/>
      <c r="AK48" s="317">
        <v>0</v>
      </c>
      <c r="AL48" s="317">
        <f>COUNTIF($AF14:$AF42,$AG48)</f>
        <v>0</v>
      </c>
      <c r="AM48" s="471">
        <f>SUM(AK48:AL48)</f>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v>0</v>
      </c>
      <c r="J50" s="435"/>
      <c r="L50" s="231"/>
      <c r="M50" s="231"/>
      <c r="N50" s="231"/>
      <c r="O50" s="231"/>
      <c r="P50" s="231"/>
      <c r="Q50" s="231"/>
      <c r="R50" s="231"/>
      <c r="S50" s="231"/>
      <c r="T50" s="231"/>
      <c r="U50" s="231"/>
      <c r="V50" s="231"/>
      <c r="W50" s="231"/>
      <c r="X50" s="231"/>
      <c r="Y50" s="231"/>
      <c r="Z50" s="231"/>
      <c r="AA50" s="231"/>
      <c r="AB50" s="231"/>
      <c r="AC50" s="231"/>
      <c r="AD50" s="231"/>
      <c r="AE50" s="215"/>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15"/>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15"/>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15"/>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6.825000000000002</v>
      </c>
      <c r="H56" s="268">
        <f>(F56-G56)*24</f>
        <v>-163.80000000000004</v>
      </c>
      <c r="I56" s="423">
        <f>Grunddaten!C37+H56</f>
        <v>-163.80000000000004</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7">SUMIF($D$9:$D$39,$A57,$H$9:$H$39)+SUMIF($I$9:$I$39,$A57,$M$9:$M$39)+SUMIF($N$9:$N$39,$A57,$R$9:$R$39)+SUMIF($S$9:$S$39,$A57,$V$9:$V$39)-SUMIF($W$9:$W$39,$A57,$Y$9:$Y$39)/24</f>
        <v>0</v>
      </c>
      <c r="G57" s="230">
        <f>AB40</f>
        <v>0</v>
      </c>
      <c r="H57" s="219">
        <f t="shared" ref="H57:H58" si="18">(F57-G57)*24</f>
        <v>0</v>
      </c>
      <c r="I57" s="425">
        <f>Grunddaten!C38+H57</f>
        <v>0</v>
      </c>
      <c r="J57" s="426"/>
      <c r="L57" s="469"/>
      <c r="M57" s="469"/>
      <c r="N57" s="469"/>
      <c r="O57" s="469"/>
      <c r="P57" s="469"/>
      <c r="Q57" s="469"/>
      <c r="R57" s="469"/>
      <c r="S57" s="469"/>
      <c r="T57" s="469"/>
      <c r="U57" s="469"/>
      <c r="V57" s="469"/>
      <c r="W57" s="469"/>
      <c r="X57" s="469"/>
      <c r="Y57" s="469"/>
      <c r="Z57" s="469"/>
      <c r="AA57" s="469"/>
      <c r="AB57" s="469"/>
      <c r="AC57" s="469"/>
      <c r="AD57" s="469"/>
      <c r="AE57" s="215"/>
      <c r="AG57" s="216"/>
    </row>
    <row r="58" spans="1:33" s="208" customFormat="1" ht="15" customHeight="1" x14ac:dyDescent="0.35">
      <c r="A58" s="358">
        <v>3</v>
      </c>
      <c r="B58" s="419" t="str">
        <f>IF(Grunddaten!C18="","",Grunddaten!C18)</f>
        <v>CCC</v>
      </c>
      <c r="C58" s="419"/>
      <c r="D58" s="419"/>
      <c r="E58" s="420"/>
      <c r="F58" s="359">
        <f t="shared" si="17"/>
        <v>0</v>
      </c>
      <c r="G58" s="359">
        <f>AC40</f>
        <v>0</v>
      </c>
      <c r="H58" s="360">
        <f t="shared" si="18"/>
        <v>0</v>
      </c>
      <c r="I58" s="427">
        <f>Grunddaten!C39+H58</f>
        <v>0</v>
      </c>
      <c r="J58" s="428"/>
      <c r="L58" s="231" t="s">
        <v>173</v>
      </c>
      <c r="M58" s="231"/>
      <c r="N58" s="231"/>
      <c r="R58" s="231" t="s">
        <v>323</v>
      </c>
      <c r="S58" s="231"/>
      <c r="T58" s="231"/>
      <c r="U58" s="231"/>
      <c r="V58" s="231"/>
      <c r="W58" s="231"/>
      <c r="X58" s="231"/>
      <c r="Y58" s="231"/>
      <c r="AE58" s="215"/>
      <c r="AG58" s="216"/>
    </row>
    <row r="59" spans="1:33" s="208" customFormat="1" ht="14" x14ac:dyDescent="0.3">
      <c r="V59" s="214"/>
      <c r="AE59" s="215"/>
      <c r="AG59" s="216"/>
    </row>
    <row r="60" spans="1:33" s="208" customFormat="1" ht="14" x14ac:dyDescent="0.3">
      <c r="V60" s="214"/>
      <c r="W60" s="214"/>
      <c r="X60" s="214"/>
      <c r="Y60" s="214"/>
      <c r="AE60" s="215"/>
      <c r="AG60" s="216"/>
    </row>
    <row r="61" spans="1:33" s="208" customFormat="1" ht="14" x14ac:dyDescent="0.3">
      <c r="V61" s="214"/>
      <c r="W61" s="214"/>
      <c r="X61" s="214"/>
      <c r="Y61" s="214"/>
      <c r="AE61" s="215"/>
      <c r="AG61" s="216"/>
    </row>
    <row r="62" spans="1:33" s="231" customFormat="1" ht="15.5" x14ac:dyDescent="0.35">
      <c r="V62" s="232"/>
      <c r="W62" s="232"/>
      <c r="X62" s="232"/>
      <c r="Y62" s="232"/>
      <c r="AE62" s="233"/>
      <c r="AG62" s="234"/>
    </row>
    <row r="63" spans="1:33" s="231" customFormat="1" ht="15" customHeight="1" x14ac:dyDescent="0.35">
      <c r="V63" s="232"/>
      <c r="W63" s="232"/>
      <c r="X63" s="232"/>
      <c r="Y63" s="232"/>
      <c r="AE63" s="233"/>
      <c r="AG63" s="234"/>
    </row>
    <row r="64" spans="1:33" s="231" customFormat="1" ht="15.5" x14ac:dyDescent="0.35">
      <c r="I64" s="235"/>
      <c r="V64" s="232"/>
      <c r="W64" s="232"/>
      <c r="X64" s="232"/>
      <c r="Y64" s="232"/>
      <c r="AE64" s="233"/>
      <c r="AG64" s="234"/>
    </row>
    <row r="65" spans="1:33" s="231" customFormat="1" ht="15" customHeight="1" x14ac:dyDescent="0.35">
      <c r="V65" s="232"/>
      <c r="W65" s="232"/>
      <c r="X65" s="232"/>
      <c r="Y65" s="232"/>
      <c r="AE65" s="233"/>
      <c r="AG65" s="234"/>
    </row>
    <row r="66" spans="1:33" s="231" customFormat="1" ht="15.5" x14ac:dyDescent="0.35">
      <c r="A66" s="188"/>
      <c r="B66" s="188"/>
      <c r="C66" s="188"/>
      <c r="D66" s="188"/>
      <c r="E66" s="185"/>
      <c r="F66" s="185"/>
      <c r="G66" s="185"/>
      <c r="V66" s="232"/>
      <c r="W66" s="232"/>
      <c r="X66" s="232"/>
      <c r="Y66" s="232"/>
      <c r="AE66" s="233"/>
      <c r="AG66" s="234"/>
    </row>
    <row r="67" spans="1:33" s="231" customFormat="1" ht="15" customHeight="1" x14ac:dyDescent="0.35">
      <c r="A67" s="188"/>
      <c r="B67" s="188"/>
      <c r="C67" s="188"/>
      <c r="D67" s="188"/>
      <c r="E67" s="185"/>
      <c r="F67" s="185"/>
      <c r="G67" s="185"/>
      <c r="U67" s="236"/>
      <c r="V67" s="232"/>
      <c r="W67" s="232"/>
      <c r="X67" s="232"/>
      <c r="Y67" s="232"/>
      <c r="AE67" s="233"/>
      <c r="AG67" s="234"/>
    </row>
    <row r="68" spans="1:33" s="231" customFormat="1" ht="15" customHeight="1" x14ac:dyDescent="0.35">
      <c r="A68" s="188"/>
      <c r="B68" s="188"/>
      <c r="C68" s="188"/>
      <c r="D68" s="188"/>
      <c r="E68" s="185"/>
      <c r="F68" s="185"/>
      <c r="G68" s="185"/>
      <c r="V68" s="232"/>
      <c r="W68" s="232"/>
      <c r="X68" s="232"/>
      <c r="Y68" s="232"/>
      <c r="AE68" s="233"/>
      <c r="AG68" s="234"/>
    </row>
  </sheetData>
  <sheetProtection sheet="1" selectLockedCells="1" autoFilter="0"/>
  <mergeCells count="51">
    <mergeCell ref="L57:AD57"/>
    <mergeCell ref="L51:AD51"/>
    <mergeCell ref="AM44:AN44"/>
    <mergeCell ref="AM45:AN45"/>
    <mergeCell ref="AM46:AN46"/>
    <mergeCell ref="AM47:AN47"/>
    <mergeCell ref="AM48:AN48"/>
    <mergeCell ref="AG48:AH48"/>
    <mergeCell ref="AG47:AH47"/>
    <mergeCell ref="AG44:AH44"/>
    <mergeCell ref="P46:AF47"/>
    <mergeCell ref="A1:AN1"/>
    <mergeCell ref="D7:H7"/>
    <mergeCell ref="I7:M7"/>
    <mergeCell ref="N7:R7"/>
    <mergeCell ref="W7:X7"/>
    <mergeCell ref="AA7:AD7"/>
    <mergeCell ref="AH4:AJ4"/>
    <mergeCell ref="S7:V7"/>
    <mergeCell ref="AK7:AN7"/>
    <mergeCell ref="B7:C7"/>
    <mergeCell ref="AM42:AN42"/>
    <mergeCell ref="AM43:AN43"/>
    <mergeCell ref="I42:J42"/>
    <mergeCell ref="I43:J43"/>
    <mergeCell ref="AG43:AH43"/>
    <mergeCell ref="A53:H53"/>
    <mergeCell ref="I48:J48"/>
    <mergeCell ref="L46:O46"/>
    <mergeCell ref="I49:J49"/>
    <mergeCell ref="I50:J50"/>
    <mergeCell ref="I53:J53"/>
    <mergeCell ref="A49:H49"/>
    <mergeCell ref="A50:H50"/>
    <mergeCell ref="A51:H51"/>
    <mergeCell ref="I44:J44"/>
    <mergeCell ref="I46:J46"/>
    <mergeCell ref="I51:J51"/>
    <mergeCell ref="A42:G42"/>
    <mergeCell ref="A43:G43"/>
    <mergeCell ref="A44:G44"/>
    <mergeCell ref="A46:G46"/>
    <mergeCell ref="A48:H48"/>
    <mergeCell ref="B56:E56"/>
    <mergeCell ref="B57:E57"/>
    <mergeCell ref="B58:E58"/>
    <mergeCell ref="I55:J55"/>
    <mergeCell ref="I56:J56"/>
    <mergeCell ref="I57:J57"/>
    <mergeCell ref="I58:J58"/>
    <mergeCell ref="B55:E55"/>
  </mergeCells>
  <conditionalFormatting sqref="A9:N39">
    <cfRule type="expression" priority="1">
      <formula>AND(WEEKDAY($C9)&gt;1,WEEKDAY($C9)&lt;7)</formula>
    </cfRule>
  </conditionalFormatting>
  <conditionalFormatting sqref="H9:H39">
    <cfRule type="expression" dxfId="135"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134"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O9:AN9 V9:V39 O10:U39">
    <cfRule type="expression" priority="3">
      <formula>AND(WEEKDAY($C9)&gt;1,WEEKDAY($C9)&lt;7)</formula>
    </cfRule>
  </conditionalFormatting>
  <conditionalFormatting sqref="R9:R39">
    <cfRule type="expression" dxfId="132"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W10:AN39">
    <cfRule type="expression" priority="8">
      <formula>AND(WEEKDAY($C10)&gt;1,WEEKDAY($C10)&lt;7)</formula>
    </cfRule>
  </conditionalFormatting>
  <conditionalFormatting sqref="AN9:AN39">
    <cfRule type="expression" dxfId="127" priority="20">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400-000000000000}">
      <formula1>0</formula1>
      <formula2>0.333333333333333</formula2>
    </dataValidation>
    <dataValidation type="list" allowBlank="1" showInputMessage="1" sqref="D9:D39 N9:N39 I9:I39" xr:uid="{00000000-0002-0000-0400-000001000000}">
      <formula1>"1,2,3"</formula1>
    </dataValidation>
    <dataValidation type="list" allowBlank="1" showInputMessage="1" showErrorMessage="1" sqref="W9:W39" xr:uid="{00000000-0002-0000-04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F4757C42-4096-4EF5-821E-70D27EEE1C0B}">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2" id="{46D6AF85-3BE3-4EFF-9EC5-C04128532C81}">
            <xm:f>OR(COUNTIF(Grunddaten!$F$35:$F$58,$C10)&gt;0,WEEKDAY($C10)=1,WEEKDAY($C10)=7)</xm:f>
            <x14:dxf>
              <fill>
                <patternFill>
                  <bgColor theme="4" tint="0.79998168889431442"/>
                </patternFill>
              </fill>
              <border>
                <top style="thin">
                  <color theme="0"/>
                </top>
                <bottom style="thin">
                  <color theme="0"/>
                </bottom>
              </border>
            </x14:dxf>
          </x14:cfRule>
          <xm:sqref>D10:U39</xm:sqref>
        </x14:conditionalFormatting>
        <x14:conditionalFormatting xmlns:xm="http://schemas.microsoft.com/office/excel/2006/main">
          <x14:cfRule type="expression" priority="14" id="{ABF5AC8D-52EE-41AD-B11C-0CBC3AF53017}">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8" id="{206187C8-3E4B-46F3-A504-FF9224B4C686}">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A2EA536E-4EF5-4053-A2ED-967B5BA0BDDD}">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22" id="{36DFE391-F85B-494A-A140-007178EACECB}">
            <xm:f>OR(COUNTIF(Grunddaten!$F$35:$F$58,$C9)&gt;0,WEEKDAY($C9)=1,WEEKDAY($C9)=7)</xm:f>
            <x14:dxf>
              <fill>
                <patternFill>
                  <bgColor theme="4" tint="0.79998168889431442"/>
                </patternFill>
              </fill>
              <border>
                <top style="thin">
                  <color theme="0"/>
                </top>
                <bottom style="thin">
                  <color theme="0"/>
                </bottom>
              </border>
            </x14:dxf>
          </x14:cfRule>
          <xm:sqref>AF10:AN39 W10:AD39 A9:C39 V9:V39</xm:sqref>
        </x14:conditionalFormatting>
        <x14:conditionalFormatting xmlns:xm="http://schemas.microsoft.com/office/excel/2006/main">
          <x14:cfRule type="expression" priority="19" id="{F6FFFC9B-02C5-403C-98D4-524D5343EF40}">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3000000}">
          <x14:formula1>
            <xm:f>Grunddaten!$B$16:$B$21</xm:f>
          </x14:formula1>
          <xm:sqref>S9:S39</xm:sqref>
        </x14:dataValidation>
        <x14:dataValidation type="list" allowBlank="1" showInputMessage="1" xr:uid="{00000000-0002-0000-0400-000004000000}">
          <x14:formula1>
            <xm:f>Grunddaten!$F$15:$F$32</xm:f>
          </x14:formula1>
          <xm:sqref>AF9:AF11</xm:sqref>
        </x14:dataValidation>
        <x14:dataValidation type="list" allowBlank="1" showInputMessage="1" xr:uid="{00000000-0002-0000-0400-000005000000}">
          <x14:formula1>
            <xm:f>Grunddaten!$F$14:$F$32</xm:f>
          </x14:formula1>
          <xm:sqref>AF12:AF39</xm:sqref>
        </x14:dataValidation>
        <x14:dataValidation type="list" allowBlank="1" showInputMessage="1" xr:uid="{00000000-0002-0000-0400-000006000000}">
          <x14:formula1>
            <xm:f>Grunddaten!$F$62:$F$92</xm:f>
          </x14:formula1>
          <xm:sqref>AG9:AG39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theme="7" tint="0.79998168889431442"/>
    <pageSetUpPr fitToPage="1"/>
  </sheetPr>
  <dimension ref="A1:AN68"/>
  <sheetViews>
    <sheetView showGridLines="0" zoomScale="75" zoomScaleNormal="75" zoomScaleSheetLayoutView="75" workbookViewId="0">
      <pane ySplit="8" topLeftCell="A21"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256"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2"/>
      <c r="AE2" s="251"/>
      <c r="AG2" s="199"/>
    </row>
    <row r="3" spans="1:40" s="187" customFormat="1" ht="17.5" x14ac:dyDescent="0.35">
      <c r="A3" s="186" t="s">
        <v>29</v>
      </c>
      <c r="B3" s="186"/>
      <c r="C3" s="186"/>
      <c r="F3" s="187" t="str">
        <f>Grunddaten!C11</f>
        <v>Muster</v>
      </c>
      <c r="V3" s="281"/>
      <c r="W3" s="281"/>
      <c r="X3" s="281"/>
      <c r="Y3" s="282"/>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2"/>
      <c r="AD4" s="192" t="s">
        <v>30</v>
      </c>
      <c r="AE4" s="250"/>
      <c r="AF4" s="194">
        <f>Grunddaten!$C$12</f>
        <v>12345</v>
      </c>
      <c r="AG4" s="195"/>
      <c r="AH4" s="465" t="s">
        <v>282</v>
      </c>
      <c r="AI4" s="465"/>
      <c r="AJ4" s="465"/>
    </row>
    <row r="5" spans="1:40" x14ac:dyDescent="0.25">
      <c r="D5" s="185"/>
    </row>
    <row r="6" spans="1:40" ht="18" x14ac:dyDescent="0.4">
      <c r="A6" s="196" t="s">
        <v>140</v>
      </c>
      <c r="D6" s="197" t="s">
        <v>174</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5</v>
      </c>
      <c r="B9" s="283" t="str">
        <f>IF(WEEKDAY($C9,1)=1,"So.",IF(WEEKDAY($C9,1)=2,"Mo.",IF(WEEKDAY($C9,1)=3,"Di.",IF(WEEKDAY($C9,1)=4,"Mi.",IF(WEEKDAY($C9,1)=5,"Do.",IF(WEEKDAY($C9,1)=6,"Fr.","Sa."))))))</f>
        <v>Sa.</v>
      </c>
      <c r="C9" s="295">
        <f>DATE(Grunddaten!G9,2,1)</f>
        <v>45689</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 t="shared" ref="I9:I39" si="1">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2">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-163.80000000000004</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3">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7" si="4">WEEKNUM($C10)</f>
        <v>6</v>
      </c>
      <c r="B10" s="283" t="str">
        <f t="shared" ref="B10:B37" si="5">IF(WEEKDAY($C10,1)=1,"So.",IF(WEEKDAY($C10,1)=2,"Mo.",IF(WEEKDAY($C10,1)=3,"Di.",IF(WEEKDAY($C10,1)=4,"Mi.",IF(WEEKDAY($C10,1)=5,"Do.",IF(WEEKDAY($C10,1)=6,"Fr.","Sa."))))))</f>
        <v>So.</v>
      </c>
      <c r="C10" s="295">
        <f>C9+1</f>
        <v>45690</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si="1"/>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2"/>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v>
      </c>
      <c r="AE10" s="290">
        <f>(Z10-AD10)*24+AE9</f>
        <v>-163.80000000000004</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3"/>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4"/>
        <v>6</v>
      </c>
      <c r="B11" s="283" t="str">
        <f t="shared" si="5"/>
        <v>Mo.</v>
      </c>
      <c r="C11" s="295">
        <f t="shared" ref="C11:C37" si="10">C10+1</f>
        <v>45691</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1"/>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2"/>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-171.60000000000005</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3"/>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4"/>
        <v>6</v>
      </c>
      <c r="B12" s="283" t="str">
        <f t="shared" si="5"/>
        <v>Di.</v>
      </c>
      <c r="C12" s="295">
        <f t="shared" si="10"/>
        <v>45692</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1"/>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2"/>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-179.40000000000006</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3"/>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4"/>
        <v>6</v>
      </c>
      <c r="B13" s="283" t="str">
        <f t="shared" si="5"/>
        <v>Mi.</v>
      </c>
      <c r="C13" s="295">
        <f t="shared" si="10"/>
        <v>45693</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1"/>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2"/>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-187.20000000000007</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3"/>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4"/>
        <v>6</v>
      </c>
      <c r="B14" s="283" t="str">
        <f t="shared" si="5"/>
        <v>Do.</v>
      </c>
      <c r="C14" s="295">
        <f t="shared" si="10"/>
        <v>45694</v>
      </c>
      <c r="D14" s="285" t="str">
        <f t="shared" si="0"/>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1"/>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2"/>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-195.00000000000009</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3"/>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4"/>
        <v>6</v>
      </c>
      <c r="B15" s="283" t="str">
        <f t="shared" si="5"/>
        <v>Fr.</v>
      </c>
      <c r="C15" s="295">
        <f t="shared" si="10"/>
        <v>45695</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1"/>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2"/>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-202.8000000000001</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3"/>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4"/>
        <v>6</v>
      </c>
      <c r="B16" s="283" t="str">
        <f t="shared" si="5"/>
        <v>Sa.</v>
      </c>
      <c r="C16" s="295">
        <f t="shared" si="10"/>
        <v>45696</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1"/>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2"/>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v>
      </c>
      <c r="AE16" s="290">
        <f t="shared" si="11"/>
        <v>-202.8000000000001</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3"/>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4"/>
        <v>7</v>
      </c>
      <c r="B17" s="283" t="str">
        <f t="shared" si="5"/>
        <v>So.</v>
      </c>
      <c r="C17" s="295">
        <f t="shared" si="10"/>
        <v>45697</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1"/>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2"/>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v>
      </c>
      <c r="AE17" s="290">
        <f t="shared" si="11"/>
        <v>-202.8000000000001</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3"/>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4"/>
        <v>7</v>
      </c>
      <c r="B18" s="283" t="str">
        <f t="shared" si="5"/>
        <v>Mo.</v>
      </c>
      <c r="C18" s="295">
        <f t="shared" si="10"/>
        <v>45698</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1"/>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2"/>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-210.60000000000011</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3"/>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4"/>
        <v>7</v>
      </c>
      <c r="B19" s="283" t="str">
        <f t="shared" si="5"/>
        <v>Di.</v>
      </c>
      <c r="C19" s="295">
        <f t="shared" si="10"/>
        <v>45699</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1"/>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2"/>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-218.40000000000012</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3"/>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4"/>
        <v>7</v>
      </c>
      <c r="B20" s="283" t="str">
        <f t="shared" si="5"/>
        <v>Mi.</v>
      </c>
      <c r="C20" s="295">
        <f t="shared" si="10"/>
        <v>45700</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1"/>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2"/>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-226.20000000000013</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3"/>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4"/>
        <v>7</v>
      </c>
      <c r="B21" s="283" t="str">
        <f t="shared" si="5"/>
        <v>Do.</v>
      </c>
      <c r="C21" s="295">
        <f t="shared" si="10"/>
        <v>45701</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1"/>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2"/>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-234.00000000000014</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3"/>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4"/>
        <v>7</v>
      </c>
      <c r="B22" s="283" t="str">
        <f t="shared" si="5"/>
        <v>Fr.</v>
      </c>
      <c r="C22" s="295">
        <f t="shared" si="10"/>
        <v>45702</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1"/>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2"/>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-241.80000000000015</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3"/>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4"/>
        <v>7</v>
      </c>
      <c r="B23" s="283" t="str">
        <f t="shared" si="5"/>
        <v>Sa.</v>
      </c>
      <c r="C23" s="295">
        <f t="shared" si="10"/>
        <v>45703</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1"/>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2"/>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v>
      </c>
      <c r="AE23" s="290">
        <f t="shared" si="11"/>
        <v>-241.80000000000015</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3"/>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4"/>
        <v>8</v>
      </c>
      <c r="B24" s="283" t="str">
        <f t="shared" si="5"/>
        <v>So.</v>
      </c>
      <c r="C24" s="295">
        <f t="shared" si="10"/>
        <v>45704</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1"/>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2"/>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v>
      </c>
      <c r="AE24" s="290">
        <f t="shared" si="11"/>
        <v>-241.80000000000015</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3"/>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4"/>
        <v>8</v>
      </c>
      <c r="B25" s="283" t="str">
        <f t="shared" si="5"/>
        <v>Mo.</v>
      </c>
      <c r="C25" s="295">
        <f t="shared" si="10"/>
        <v>45705</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1"/>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2"/>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-249.60000000000016</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3"/>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4"/>
        <v>8</v>
      </c>
      <c r="B26" s="283" t="str">
        <f t="shared" si="5"/>
        <v>Di.</v>
      </c>
      <c r="C26" s="295">
        <f t="shared" si="10"/>
        <v>45706</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1"/>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2"/>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-257.40000000000015</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3"/>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4"/>
        <v>8</v>
      </c>
      <c r="B27" s="283" t="str">
        <f t="shared" si="5"/>
        <v>Mi.</v>
      </c>
      <c r="C27" s="295">
        <f t="shared" si="10"/>
        <v>45707</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1"/>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2"/>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-265.20000000000016</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3"/>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4"/>
        <v>8</v>
      </c>
      <c r="B28" s="283" t="str">
        <f t="shared" si="5"/>
        <v>Do.</v>
      </c>
      <c r="C28" s="295">
        <f t="shared" si="10"/>
        <v>45708</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1"/>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2"/>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-273.00000000000017</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3"/>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4"/>
        <v>8</v>
      </c>
      <c r="B29" s="283" t="str">
        <f t="shared" si="5"/>
        <v>Fr.</v>
      </c>
      <c r="C29" s="295">
        <f t="shared" si="10"/>
        <v>45709</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1"/>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2"/>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-280.80000000000018</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3"/>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4"/>
        <v>8</v>
      </c>
      <c r="B30" s="283" t="str">
        <f t="shared" si="5"/>
        <v>Sa.</v>
      </c>
      <c r="C30" s="295">
        <f t="shared" si="10"/>
        <v>45710</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1"/>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2"/>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v>
      </c>
      <c r="AE30" s="290">
        <f t="shared" si="11"/>
        <v>-280.80000000000018</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3"/>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4"/>
        <v>9</v>
      </c>
      <c r="B31" s="283" t="str">
        <f t="shared" si="5"/>
        <v>So.</v>
      </c>
      <c r="C31" s="295">
        <f t="shared" si="10"/>
        <v>45711</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1"/>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2"/>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v>
      </c>
      <c r="AE31" s="290">
        <f t="shared" si="11"/>
        <v>-280.80000000000018</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3"/>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4"/>
        <v>9</v>
      </c>
      <c r="B32" s="283" t="str">
        <f t="shared" si="5"/>
        <v>Mo.</v>
      </c>
      <c r="C32" s="295">
        <f t="shared" si="10"/>
        <v>45712</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1"/>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2"/>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-288.60000000000019</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3"/>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4"/>
        <v>9</v>
      </c>
      <c r="B33" s="283" t="str">
        <f t="shared" si="5"/>
        <v>Di.</v>
      </c>
      <c r="C33" s="295">
        <f t="shared" si="10"/>
        <v>45713</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1"/>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2"/>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-296.4000000000002</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3"/>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4"/>
        <v>9</v>
      </c>
      <c r="B34" s="283" t="str">
        <f t="shared" si="5"/>
        <v>Mi.</v>
      </c>
      <c r="C34" s="295">
        <f t="shared" si="10"/>
        <v>45714</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1"/>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2"/>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-304.20000000000022</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3"/>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4"/>
        <v>9</v>
      </c>
      <c r="B35" s="283" t="str">
        <f t="shared" si="5"/>
        <v>Do.</v>
      </c>
      <c r="C35" s="295">
        <f t="shared" si="10"/>
        <v>45715</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1"/>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2"/>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-312.00000000000023</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3"/>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4"/>
        <v>9</v>
      </c>
      <c r="B36" s="283" t="str">
        <f t="shared" si="5"/>
        <v>Fr.</v>
      </c>
      <c r="C36" s="295">
        <f t="shared" si="10"/>
        <v>45716</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1"/>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2"/>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-319.80000000000024</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3"/>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4"/>
        <v>9</v>
      </c>
      <c r="B37" s="283" t="str">
        <f t="shared" si="5"/>
        <v>Sa.</v>
      </c>
      <c r="C37" s="295">
        <f t="shared" si="10"/>
        <v>45717</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1"/>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2"/>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v>
      </c>
      <c r="AE37" s="290">
        <f t="shared" si="11"/>
        <v>-319.80000000000024</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3"/>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hidden="1" customHeight="1" x14ac:dyDescent="0.35">
      <c r="A38" s="331"/>
      <c r="B38" s="283"/>
      <c r="C38" s="295"/>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1"/>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2"/>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v>
      </c>
      <c r="AE38" s="290">
        <f t="shared" si="11"/>
        <v>-319.80000000000024</v>
      </c>
      <c r="AF38" s="292" t="str">
        <f>IFERROR(VLOOKUP($C38,Grunddaten!$F$36:$G$59,2,0),"")</f>
        <v/>
      </c>
      <c r="AG38" s="293"/>
      <c r="AH38" s="286">
        <v>0</v>
      </c>
      <c r="AI38" s="291">
        <f t="shared" si="8"/>
        <v>0</v>
      </c>
      <c r="AJ38" s="292"/>
      <c r="AK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3"/>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hidden="1" customHeight="1" x14ac:dyDescent="0.35">
      <c r="A39" s="331"/>
      <c r="B39" s="283"/>
      <c r="C39" s="295"/>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1"/>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2"/>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-319.80000000000024</v>
      </c>
      <c r="AF39" s="292" t="str">
        <f>IFERROR(VLOOKUP($C39,Grunddaten!$F$36:$G$59,2,0),"")</f>
        <v/>
      </c>
      <c r="AG39" s="293"/>
      <c r="AH39" s="286">
        <v>0</v>
      </c>
      <c r="AI39" s="291">
        <f t="shared" si="8"/>
        <v>0</v>
      </c>
      <c r="AJ39" s="292"/>
      <c r="AK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3"/>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SUM(V9:V39)</f>
        <v>0</v>
      </c>
      <c r="W40" s="336"/>
      <c r="X40" s="336">
        <f t="shared" ref="X40:AC40" si="12">SUM(X9:X39)</f>
        <v>0</v>
      </c>
      <c r="Y40" s="337">
        <f>SUM(Y9:Y39)</f>
        <v>0</v>
      </c>
      <c r="Z40" s="336">
        <f t="shared" si="12"/>
        <v>0</v>
      </c>
      <c r="AA40" s="336">
        <f t="shared" si="12"/>
        <v>6.5000000000000018</v>
      </c>
      <c r="AB40" s="336">
        <f t="shared" si="12"/>
        <v>0</v>
      </c>
      <c r="AC40" s="336">
        <f t="shared" si="12"/>
        <v>0</v>
      </c>
      <c r="AD40" s="336">
        <f>SUM(AD9:AD39)</f>
        <v>6.5000000000000018</v>
      </c>
      <c r="AE40" s="338">
        <f>(Z40-AD40)*24+I44</f>
        <v>-319.80000000000007</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57"/>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U42" s="208"/>
      <c r="V42" s="208"/>
      <c r="W42" s="209"/>
      <c r="X42" s="210"/>
      <c r="Y42" s="258"/>
      <c r="AE42" s="253"/>
      <c r="AG42" s="318" t="s">
        <v>167</v>
      </c>
      <c r="AH42" s="319"/>
      <c r="AI42" s="320"/>
      <c r="AJ42" s="320"/>
      <c r="AK42" s="321" t="s">
        <v>304</v>
      </c>
      <c r="AL42" s="322" t="str">
        <f>$D$6</f>
        <v>FEBRUAR</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6.5000000000000027</v>
      </c>
      <c r="I43" s="430">
        <f>(Z40-AD40)*24</f>
        <v>-156.00000000000006</v>
      </c>
      <c r="J43" s="431"/>
      <c r="L43" s="208" t="s">
        <v>163</v>
      </c>
      <c r="P43" s="213">
        <f>'AZ-Modell'!D9</f>
        <v>5</v>
      </c>
      <c r="U43" s="214"/>
      <c r="V43" s="214"/>
      <c r="W43" s="214"/>
      <c r="Y43" s="259"/>
      <c r="AE43" s="254"/>
      <c r="AG43" s="457" t="s">
        <v>32</v>
      </c>
      <c r="AH43" s="458"/>
      <c r="AI43" s="297"/>
      <c r="AJ43" s="297"/>
      <c r="AK43" s="298">
        <f>Januar!AM43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6.825000000000002</v>
      </c>
      <c r="I44" s="430">
        <f>Januar!I46</f>
        <v>-163.80000000000004</v>
      </c>
      <c r="J44" s="431"/>
      <c r="L44" s="208" t="s">
        <v>164</v>
      </c>
      <c r="P44" s="220">
        <f>'AZ-Modell'!D11</f>
        <v>1.625</v>
      </c>
      <c r="U44" s="214"/>
      <c r="V44" s="214"/>
      <c r="W44" s="214"/>
      <c r="Y44" s="259"/>
      <c r="AE44" s="254"/>
      <c r="AG44" s="457" t="s">
        <v>41</v>
      </c>
      <c r="AH44" s="458"/>
      <c r="AI44" s="297"/>
      <c r="AJ44" s="297"/>
      <c r="AK44" s="298">
        <f>Januar!AM44</f>
        <v>0</v>
      </c>
      <c r="AL44" s="298">
        <f>COUNTIF($AF10:$AF40,$AG44)</f>
        <v>0</v>
      </c>
      <c r="AM44" s="455">
        <f t="shared" ref="AM44" si="13">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Y45" s="259"/>
      <c r="AE45" s="254"/>
      <c r="AG45" s="323" t="s">
        <v>43</v>
      </c>
      <c r="AH45" s="299"/>
      <c r="AI45" s="297"/>
      <c r="AJ45" s="297"/>
      <c r="AK45" s="298">
        <f>Januar!AM45</f>
        <v>0</v>
      </c>
      <c r="AL45" s="298">
        <f t="shared" ref="AL45:AL46" si="14">COUNTIF($AF11:$AF41,$AG45)</f>
        <v>0</v>
      </c>
      <c r="AM45" s="455">
        <f t="shared" ref="AM45:AM48" si="15">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13.325000000000003</v>
      </c>
      <c r="I46" s="432">
        <f>SUM(I43:I45)</f>
        <v>-319.80000000000007</v>
      </c>
      <c r="J46" s="433"/>
      <c r="L46" s="450" t="str">
        <f ca="1">IF(P46&lt;&gt;"","Hinweis:","")</f>
        <v>Hinweis:</v>
      </c>
      <c r="M46" s="450"/>
      <c r="N46" s="450"/>
      <c r="O46" s="450"/>
      <c r="P46" s="475" t="str">
        <f ca="1">IF(TODAY()&gt;=C37,IF((I46/24)&gt;P44,"Ihr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f>Januar!AM46</f>
        <v>0</v>
      </c>
      <c r="AL46" s="298">
        <f t="shared" si="14"/>
        <v>0</v>
      </c>
      <c r="AM46" s="455">
        <f t="shared" si="15"/>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Januar!AM47</f>
        <v>0</v>
      </c>
      <c r="AL47" s="298">
        <f>COUNTIF($AF13:$AF42,$AG47)</f>
        <v>0</v>
      </c>
      <c r="AM47" s="455">
        <f t="shared" si="15"/>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Januar!AM48</f>
        <v>0</v>
      </c>
      <c r="AL48" s="317">
        <f>COUNTIF($AF14:$AF42,$AG48)</f>
        <v>0</v>
      </c>
      <c r="AM48" s="471">
        <f t="shared" si="15"/>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I49-Januar!I53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6.5000000000000018</v>
      </c>
      <c r="H56" s="268">
        <f>(F56-G56)*24</f>
        <v>-156.00000000000006</v>
      </c>
      <c r="I56" s="423">
        <f>Januar!I56+H56</f>
        <v>-319.80000000000007</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6">SUMIF($D$9:$D$39,$A57,$H$9:$H$39)+SUMIF($I$9:$I$39,$A57,$M$9:$M$39)+SUMIF($N$9:$N$39,$A57,$R$9:$R$39)+SUMIF($S$9:$S$39,$A57,$V$9:$V$39)-SUMIF($W$9:$W$39,$A57,$Y$9:$Y$39)/24</f>
        <v>0</v>
      </c>
      <c r="G57" s="230">
        <f>AB40</f>
        <v>0</v>
      </c>
      <c r="H57" s="219">
        <f t="shared" ref="H57:H58" si="17">(F57-G57)*24</f>
        <v>0</v>
      </c>
      <c r="I57" s="425">
        <f>Januar!I57+H57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6"/>
        <v>0</v>
      </c>
      <c r="G58" s="359">
        <f>AC40</f>
        <v>0</v>
      </c>
      <c r="H58" s="360">
        <f t="shared" si="17"/>
        <v>0</v>
      </c>
      <c r="I58" s="427">
        <f>Januar!I58+H58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Y59" s="259"/>
      <c r="AE59" s="254"/>
      <c r="AG59" s="216"/>
    </row>
    <row r="60" spans="1:33" s="208" customFormat="1" ht="14" x14ac:dyDescent="0.3">
      <c r="V60" s="214"/>
      <c r="W60" s="214"/>
      <c r="X60" s="214"/>
      <c r="Y60" s="259"/>
      <c r="AE60" s="254"/>
      <c r="AG60" s="216"/>
    </row>
    <row r="61" spans="1:33" s="208" customFormat="1" ht="14" x14ac:dyDescent="0.3">
      <c r="V61" s="214"/>
      <c r="W61" s="214"/>
      <c r="X61" s="214"/>
      <c r="Y61" s="259"/>
      <c r="AE61" s="254"/>
      <c r="AG61" s="216"/>
    </row>
    <row r="62" spans="1:33" s="231" customFormat="1" ht="15.5" x14ac:dyDescent="0.35">
      <c r="V62" s="232"/>
      <c r="W62" s="232"/>
      <c r="X62" s="232"/>
      <c r="Y62" s="260"/>
      <c r="AE62" s="255"/>
      <c r="AG62" s="234"/>
    </row>
    <row r="63" spans="1:33" s="231" customFormat="1" ht="15" customHeight="1" x14ac:dyDescent="0.35">
      <c r="V63" s="232"/>
      <c r="W63" s="232"/>
      <c r="X63" s="232"/>
      <c r="Y63" s="260"/>
      <c r="AE63" s="255"/>
      <c r="AG63" s="234"/>
    </row>
    <row r="64" spans="1:33" s="231" customFormat="1" ht="15.5" x14ac:dyDescent="0.35">
      <c r="I64" s="235"/>
      <c r="V64" s="232"/>
      <c r="W64" s="232"/>
      <c r="X64" s="232"/>
      <c r="Y64" s="260"/>
      <c r="AE64" s="255"/>
      <c r="AG64" s="234"/>
    </row>
    <row r="65" spans="1:33" s="231" customFormat="1" ht="15" customHeight="1" x14ac:dyDescent="0.35">
      <c r="V65" s="232"/>
      <c r="W65" s="232"/>
      <c r="X65" s="232"/>
      <c r="Y65" s="260"/>
      <c r="AE65" s="255"/>
      <c r="AG65" s="234"/>
    </row>
    <row r="66" spans="1:33" s="231" customFormat="1" ht="15.5" x14ac:dyDescent="0.35">
      <c r="A66" s="188"/>
      <c r="B66" s="188"/>
      <c r="C66" s="188"/>
      <c r="D66" s="188"/>
      <c r="E66" s="185"/>
      <c r="F66" s="185"/>
      <c r="G66" s="185"/>
      <c r="V66" s="232"/>
      <c r="W66" s="232"/>
      <c r="X66" s="232"/>
      <c r="Y66" s="260"/>
      <c r="AE66" s="255"/>
      <c r="AG66" s="234"/>
    </row>
    <row r="67" spans="1:33" s="231" customFormat="1" ht="15" customHeight="1" x14ac:dyDescent="0.35">
      <c r="A67" s="188"/>
      <c r="B67" s="188"/>
      <c r="C67" s="188"/>
      <c r="D67" s="188"/>
      <c r="E67" s="185"/>
      <c r="F67" s="185"/>
      <c r="G67" s="185"/>
      <c r="U67" s="236"/>
      <c r="V67" s="232"/>
      <c r="W67" s="232"/>
      <c r="X67" s="232"/>
      <c r="Y67" s="260"/>
      <c r="AE67" s="255"/>
      <c r="AG67" s="234"/>
    </row>
    <row r="68" spans="1:33" s="231" customFormat="1" ht="15" customHeight="1" x14ac:dyDescent="0.35">
      <c r="A68" s="188"/>
      <c r="B68" s="188"/>
      <c r="C68" s="188"/>
      <c r="D68" s="188"/>
      <c r="E68" s="185"/>
      <c r="F68" s="185"/>
      <c r="G68" s="185"/>
      <c r="V68" s="232"/>
      <c r="W68" s="232"/>
      <c r="X68" s="232"/>
      <c r="Y68" s="260"/>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7:AH47"/>
    <mergeCell ref="AG48:AH48"/>
    <mergeCell ref="AG43:AH43"/>
    <mergeCell ref="AG44:AH44"/>
    <mergeCell ref="L46:O46"/>
    <mergeCell ref="P46:AF47"/>
    <mergeCell ref="A1:AN1"/>
    <mergeCell ref="D7:H7"/>
    <mergeCell ref="I7:M7"/>
    <mergeCell ref="N7:R7"/>
    <mergeCell ref="W7:X7"/>
    <mergeCell ref="AA7:AD7"/>
    <mergeCell ref="AK7:AN7"/>
    <mergeCell ref="B7:C7"/>
    <mergeCell ref="AH4:AJ4"/>
    <mergeCell ref="S7:V7"/>
    <mergeCell ref="A49:H49"/>
    <mergeCell ref="A50:H50"/>
    <mergeCell ref="A51:H51"/>
    <mergeCell ref="A53:H53"/>
    <mergeCell ref="I49:J49"/>
    <mergeCell ref="I50:J50"/>
    <mergeCell ref="I51:J51"/>
    <mergeCell ref="I53:J53"/>
    <mergeCell ref="A42:G42"/>
    <mergeCell ref="A43:G43"/>
    <mergeCell ref="A44:G44"/>
    <mergeCell ref="A46:G46"/>
    <mergeCell ref="A48:H48"/>
    <mergeCell ref="I48:J48"/>
    <mergeCell ref="I42:J42"/>
    <mergeCell ref="I43:J43"/>
    <mergeCell ref="I44:J44"/>
    <mergeCell ref="I46:J46"/>
    <mergeCell ref="B56:E56"/>
    <mergeCell ref="B57:E57"/>
    <mergeCell ref="B58:E58"/>
    <mergeCell ref="I55:J55"/>
    <mergeCell ref="I56:J56"/>
    <mergeCell ref="I57:J57"/>
    <mergeCell ref="I58:J58"/>
    <mergeCell ref="B55:E55"/>
  </mergeCells>
  <conditionalFormatting sqref="A9:AN39">
    <cfRule type="expression" priority="1">
      <formula>AND(WEEKDAY($C9)&gt;1,WEEKDAY($C9)&lt;7)</formula>
    </cfRule>
  </conditionalFormatting>
  <conditionalFormatting sqref="H9:H39">
    <cfRule type="expression" dxfId="124"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122"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120"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115"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500-000000000000}">
      <formula1>0</formula1>
      <formula2>0.333333333333333</formula2>
    </dataValidation>
    <dataValidation type="list" allowBlank="1" showInputMessage="1" sqref="I9:I39 N9:N39 D9:D39" xr:uid="{00000000-0002-0000-0500-000001000000}">
      <formula1>"1,2,3"</formula1>
    </dataValidation>
    <dataValidation type="list" allowBlank="1" showInputMessage="1" showErrorMessage="1" sqref="W9:W39" xr:uid="{00000000-0002-0000-05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11C35D13-7080-49E9-965B-DC47EE5EAD81}">
            <xm:f>OR(COUNTIF(Grunddaten!$F$35:$F$58,$C10)&gt;0,WEEKDAY($C10)=1,WEEKDAY($C10)=7)</xm:f>
            <x14:dxf>
              <fill>
                <patternFill>
                  <bgColor theme="4" tint="0.79998168889431442"/>
                </patternFill>
              </fill>
              <border>
                <top style="thin">
                  <color theme="0"/>
                </top>
                <bottom style="thin">
                  <color theme="0"/>
                </bottom>
              </border>
            </x14:dxf>
          </x14:cfRule>
          <xm:sqref>D10:G39</xm:sqref>
        </x14:conditionalFormatting>
        <x14:conditionalFormatting xmlns:xm="http://schemas.microsoft.com/office/excel/2006/main">
          <x14:cfRule type="expression" priority="4" id="{7EE626B6-C75E-484B-8DB5-08AFCD1D2A6A}">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3" id="{986C5C2D-1BBD-4F72-86E5-D721DD1FB260}">
            <xm:f>OR(COUNTIF(Grunddaten!$F$35:$F$58,$C10)&gt;0,WEEKDAY($C10)=1,WEEKDAY($C10)=7)</xm:f>
            <x14:dxf>
              <fill>
                <patternFill>
                  <bgColor theme="4" tint="0.79998168889431442"/>
                </patternFill>
              </fill>
              <border>
                <top style="thin">
                  <color theme="0"/>
                </top>
                <bottom style="thin">
                  <color theme="0"/>
                </bottom>
              </border>
            </x14:dxf>
          </x14:cfRule>
          <xm:sqref>H10:N39</xm:sqref>
        </x14:conditionalFormatting>
        <x14:conditionalFormatting xmlns:xm="http://schemas.microsoft.com/office/excel/2006/main">
          <x14:cfRule type="expression" priority="15" id="{126E144F-8F24-400E-9BE1-524C96CE2941}">
            <xm:f>OR(COUNTIF(Grunddaten!$F$35:$F$58,$C9)&gt;0,WEEKDAY($C9)=1,WEEKDAY($C9)=7)</xm:f>
            <x14:dxf>
              <fill>
                <patternFill>
                  <bgColor theme="4" tint="0.79998168889431442"/>
                </patternFill>
              </fill>
              <border>
                <top style="thin">
                  <color theme="0"/>
                </top>
                <bottom style="thin">
                  <color theme="0"/>
                </bottom>
              </border>
            </x14:dxf>
          </x14:cfRule>
          <xm:sqref>O9:AN9 AK10:AK37</xm:sqref>
        </x14:conditionalFormatting>
        <x14:conditionalFormatting xmlns:xm="http://schemas.microsoft.com/office/excel/2006/main">
          <x14:cfRule type="expression" priority="16" id="{75A77BD6-87B3-436E-8134-7A93E84EE9E4}">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AAA0A23F-90E5-4F0D-B9EC-351E77831E77}">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65" id="{E3207856-BA7C-4C61-97ED-149A2A15A9AA}">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7" id="{3D6CE4FC-BFA6-41E4-B1D6-DADD0D96EE06}">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xr:uid="{00000000-0002-0000-0500-000003000000}">
          <x14:formula1>
            <xm:f>Grunddaten!$F$15:$F$32</xm:f>
          </x14:formula1>
          <xm:sqref>AF38:AF39</xm:sqref>
        </x14:dataValidation>
        <x14:dataValidation type="list" allowBlank="1" showInputMessage="1" showErrorMessage="1" xr:uid="{00000000-0002-0000-0500-000004000000}">
          <x14:formula1>
            <xm:f>Grunddaten!$B$16:$B$21</xm:f>
          </x14:formula1>
          <xm:sqref>S9:S39</xm:sqref>
        </x14:dataValidation>
        <x14:dataValidation type="list" allowBlank="1" showInputMessage="1" xr:uid="{00000000-0002-0000-0500-000005000000}">
          <x14:formula1>
            <xm:f>Grunddaten!$F$63:$F$92</xm:f>
          </x14:formula1>
          <xm:sqref>AG38:AG39</xm:sqref>
        </x14:dataValidation>
        <x14:dataValidation type="list" allowBlank="1" showInputMessage="1" xr:uid="{00000000-0002-0000-0500-000006000000}">
          <x14:formula1>
            <xm:f>Grunddaten!$F$14:$F$32</xm:f>
          </x14:formula1>
          <xm:sqref>AF9:AF37</xm:sqref>
        </x14:dataValidation>
        <x14:dataValidation type="list" allowBlank="1" showInputMessage="1" xr:uid="{00000000-0002-0000-0500-000007000000}">
          <x14:formula1>
            <xm:f>Grunddaten!$F$62:$F$92</xm:f>
          </x14:formula1>
          <xm:sqref>AG9:AG37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theme="7" tint="0.79998168889431442"/>
    <pageSetUpPr fitToPage="1"/>
  </sheetPr>
  <dimension ref="A1:AN68"/>
  <sheetViews>
    <sheetView showGridLines="0" zoomScale="75" zoomScaleNormal="75" workbookViewId="0">
      <pane ySplit="8" topLeftCell="A18"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175</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9</v>
      </c>
      <c r="B9" s="283" t="str">
        <f>IF(WEEKDAY($C9,1)=1,"So.",IF(WEEKDAY($C9,1)=2,"Mo.",IF(WEEKDAY($C9,1)=3,"Di.",IF(WEEKDAY($C9,1)=4,"Mi.",IF(WEEKDAY($C9,1)=5,"Do.",IF(WEEKDAY($C9,1)=6,"Fr.","Sa."))))))</f>
        <v>Sa.</v>
      </c>
      <c r="C9" s="295">
        <f>DATE(Grunddaten!G9,3,1)</f>
        <v>45717</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-319.80000000000007</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10</v>
      </c>
      <c r="B10" s="283" t="str">
        <f t="shared" ref="B10:B39" si="4">IF(WEEKDAY($C10,1)=1,"So.",IF(WEEKDAY($C10,1)=2,"Mo.",IF(WEEKDAY($C10,1)=3,"Di.",IF(WEEKDAY($C10,1)=4,"Mi.",IF(WEEKDAY($C10,1)=5,"Do.",IF(WEEKDAY($C10,1)=6,"Fr.","Sa."))))))</f>
        <v>So.</v>
      </c>
      <c r="C10" s="295">
        <f>C9+1</f>
        <v>45718</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v>
      </c>
      <c r="AE10" s="290">
        <f>(Z10-AD10)*24+AE9</f>
        <v>-319.80000000000007</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10</v>
      </c>
      <c r="B11" s="283" t="str">
        <f t="shared" si="4"/>
        <v>Mo.</v>
      </c>
      <c r="C11" s="295">
        <f t="shared" ref="C11:C39" si="10">C10+1</f>
        <v>45719</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-327.60000000000008</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10</v>
      </c>
      <c r="B12" s="283" t="str">
        <f t="shared" si="4"/>
        <v>Di.</v>
      </c>
      <c r="C12" s="295">
        <f t="shared" si="10"/>
        <v>45720</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-335.40000000000009</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10</v>
      </c>
      <c r="B13" s="283" t="str">
        <f t="shared" si="4"/>
        <v>Mi.</v>
      </c>
      <c r="C13" s="295">
        <f t="shared" si="10"/>
        <v>45721</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-343.2000000000001</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10</v>
      </c>
      <c r="B14" s="283" t="str">
        <f t="shared" si="4"/>
        <v>Do.</v>
      </c>
      <c r="C14" s="295">
        <f t="shared" si="10"/>
        <v>45722</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-351.00000000000011</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10</v>
      </c>
      <c r="B15" s="283" t="str">
        <f t="shared" si="4"/>
        <v>Fr.</v>
      </c>
      <c r="C15" s="295">
        <f t="shared" si="10"/>
        <v>45723</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-358.80000000000013</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10</v>
      </c>
      <c r="B16" s="283" t="str">
        <f t="shared" si="4"/>
        <v>Sa.</v>
      </c>
      <c r="C16" s="295">
        <f t="shared" si="10"/>
        <v>45724</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v>
      </c>
      <c r="AE16" s="290">
        <f t="shared" si="11"/>
        <v>-358.80000000000013</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11</v>
      </c>
      <c r="B17" s="283" t="str">
        <f t="shared" si="4"/>
        <v>So.</v>
      </c>
      <c r="C17" s="295">
        <f t="shared" si="10"/>
        <v>45725</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v>
      </c>
      <c r="AE17" s="290">
        <f t="shared" si="11"/>
        <v>-358.80000000000013</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11</v>
      </c>
      <c r="B18" s="283" t="str">
        <f t="shared" si="4"/>
        <v>Mo.</v>
      </c>
      <c r="C18" s="295">
        <f t="shared" si="10"/>
        <v>45726</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-366.60000000000014</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11</v>
      </c>
      <c r="B19" s="283" t="str">
        <f t="shared" si="4"/>
        <v>Di.</v>
      </c>
      <c r="C19" s="295">
        <f t="shared" si="10"/>
        <v>45727</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-374.40000000000015</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11</v>
      </c>
      <c r="B20" s="283" t="str">
        <f t="shared" si="4"/>
        <v>Mi.</v>
      </c>
      <c r="C20" s="295">
        <f t="shared" si="10"/>
        <v>45728</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-382.20000000000016</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11</v>
      </c>
      <c r="B21" s="283" t="str">
        <f t="shared" si="4"/>
        <v>Do.</v>
      </c>
      <c r="C21" s="295">
        <f t="shared" si="10"/>
        <v>45729</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-390.00000000000017</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11</v>
      </c>
      <c r="B22" s="283" t="str">
        <f t="shared" si="4"/>
        <v>Fr.</v>
      </c>
      <c r="C22" s="295">
        <f t="shared" si="10"/>
        <v>45730</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-397.80000000000018</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11</v>
      </c>
      <c r="B23" s="283" t="str">
        <f t="shared" si="4"/>
        <v>Sa.</v>
      </c>
      <c r="C23" s="295">
        <f t="shared" si="10"/>
        <v>45731</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v>
      </c>
      <c r="AE23" s="290">
        <f t="shared" si="11"/>
        <v>-397.80000000000018</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12</v>
      </c>
      <c r="B24" s="283" t="str">
        <f t="shared" si="4"/>
        <v>So.</v>
      </c>
      <c r="C24" s="295">
        <f t="shared" si="10"/>
        <v>45732</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v>
      </c>
      <c r="AE24" s="290">
        <f t="shared" si="11"/>
        <v>-397.80000000000018</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12</v>
      </c>
      <c r="B25" s="283" t="str">
        <f t="shared" si="4"/>
        <v>Mo.</v>
      </c>
      <c r="C25" s="295">
        <f t="shared" si="10"/>
        <v>45733</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-405.60000000000019</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12</v>
      </c>
      <c r="B26" s="283" t="str">
        <f t="shared" si="4"/>
        <v>Di.</v>
      </c>
      <c r="C26" s="295">
        <f t="shared" si="10"/>
        <v>45734</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0.32500000000000001</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0.32500000000000001</v>
      </c>
      <c r="AE26" s="290">
        <f t="shared" si="11"/>
        <v>-413.4000000000002</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12</v>
      </c>
      <c r="B27" s="283" t="str">
        <f t="shared" si="4"/>
        <v>Mi.</v>
      </c>
      <c r="C27" s="295">
        <f t="shared" si="10"/>
        <v>45735</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-421.20000000000022</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12</v>
      </c>
      <c r="B28" s="283" t="str">
        <f t="shared" si="4"/>
        <v>Do.</v>
      </c>
      <c r="C28" s="295">
        <f t="shared" si="10"/>
        <v>45736</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-429.00000000000023</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12</v>
      </c>
      <c r="B29" s="283" t="str">
        <f t="shared" si="4"/>
        <v>Fr.</v>
      </c>
      <c r="C29" s="295">
        <f t="shared" si="10"/>
        <v>45737</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-436.80000000000024</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12</v>
      </c>
      <c r="B30" s="283" t="str">
        <f t="shared" si="4"/>
        <v>Sa.</v>
      </c>
      <c r="C30" s="295">
        <f t="shared" si="10"/>
        <v>45738</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v>
      </c>
      <c r="AE30" s="290">
        <f t="shared" si="11"/>
        <v>-436.80000000000024</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13</v>
      </c>
      <c r="B31" s="283" t="str">
        <f t="shared" si="4"/>
        <v>So.</v>
      </c>
      <c r="C31" s="295">
        <f t="shared" si="10"/>
        <v>45739</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v>
      </c>
      <c r="AE31" s="290">
        <f t="shared" si="11"/>
        <v>-436.80000000000024</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13</v>
      </c>
      <c r="B32" s="283" t="str">
        <f t="shared" si="4"/>
        <v>Mo.</v>
      </c>
      <c r="C32" s="295">
        <f t="shared" si="10"/>
        <v>45740</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-444.60000000000025</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13</v>
      </c>
      <c r="B33" s="283" t="str">
        <f t="shared" si="4"/>
        <v>Di.</v>
      </c>
      <c r="C33" s="295">
        <f t="shared" si="10"/>
        <v>45741</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-452.40000000000026</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13</v>
      </c>
      <c r="B34" s="283" t="str">
        <f t="shared" si="4"/>
        <v>Mi.</v>
      </c>
      <c r="C34" s="295">
        <f t="shared" si="10"/>
        <v>45742</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-460.20000000000027</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13</v>
      </c>
      <c r="B35" s="283" t="str">
        <f t="shared" si="4"/>
        <v>Do.</v>
      </c>
      <c r="C35" s="295">
        <f t="shared" si="10"/>
        <v>45743</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-468.00000000000028</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13</v>
      </c>
      <c r="B36" s="283" t="str">
        <f t="shared" si="4"/>
        <v>Fr.</v>
      </c>
      <c r="C36" s="295">
        <f t="shared" si="10"/>
        <v>45744</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-475.8000000000003</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13</v>
      </c>
      <c r="B37" s="283" t="str">
        <f t="shared" si="4"/>
        <v>Sa.</v>
      </c>
      <c r="C37" s="295">
        <f t="shared" si="10"/>
        <v>45745</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v>
      </c>
      <c r="AE37" s="290">
        <f t="shared" si="11"/>
        <v>-475.8000000000003</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14</v>
      </c>
      <c r="B38" s="283" t="str">
        <f t="shared" si="4"/>
        <v>So.</v>
      </c>
      <c r="C38" s="295">
        <f t="shared" si="10"/>
        <v>45746</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v>
      </c>
      <c r="AE38" s="290">
        <f t="shared" si="11"/>
        <v>-475.8000000000003</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14</v>
      </c>
      <c r="B39" s="283" t="str">
        <f t="shared" si="4"/>
        <v>Mo.</v>
      </c>
      <c r="C39" s="295">
        <f t="shared" si="10"/>
        <v>45747</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0.32500000000000001</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0.32500000000000001</v>
      </c>
      <c r="AE39" s="290">
        <f t="shared" si="11"/>
        <v>-483.60000000000031</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6.825000000000002</v>
      </c>
      <c r="AB40" s="336">
        <f t="shared" si="14"/>
        <v>0</v>
      </c>
      <c r="AC40" s="336">
        <f t="shared" si="14"/>
        <v>0</v>
      </c>
      <c r="AD40" s="336">
        <f>SUM(AD9:AD39)</f>
        <v>6.825000000000002</v>
      </c>
      <c r="AE40" s="338">
        <f>(Z40-AD40)*24+I44</f>
        <v>-483.60000000000014</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MÄRZ</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6.825000000000002</v>
      </c>
      <c r="I43" s="430">
        <f>(Z40-AD40)*24</f>
        <v>-163.80000000000004</v>
      </c>
      <c r="J43" s="431"/>
      <c r="L43" s="208" t="s">
        <v>163</v>
      </c>
      <c r="P43" s="213">
        <f>'AZ-Modell'!E9</f>
        <v>5</v>
      </c>
      <c r="U43" s="214"/>
      <c r="V43" s="214"/>
      <c r="W43" s="214"/>
      <c r="AE43" s="254"/>
      <c r="AG43" s="457" t="s">
        <v>32</v>
      </c>
      <c r="AH43" s="458"/>
      <c r="AI43" s="297"/>
      <c r="AJ43" s="297"/>
      <c r="AK43" s="298">
        <f>Februar!AM43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13.325000000000003</v>
      </c>
      <c r="I44" s="430">
        <f>Februar!I46</f>
        <v>-319.80000000000007</v>
      </c>
      <c r="J44" s="431"/>
      <c r="L44" s="208" t="s">
        <v>164</v>
      </c>
      <c r="P44" s="220">
        <f>'AZ-Modell'!E11</f>
        <v>1.625</v>
      </c>
      <c r="U44" s="214"/>
      <c r="V44" s="214"/>
      <c r="W44" s="214"/>
      <c r="AE44" s="254"/>
      <c r="AG44" s="457" t="s">
        <v>41</v>
      </c>
      <c r="AH44" s="458"/>
      <c r="AI44" s="297"/>
      <c r="AJ44" s="297"/>
      <c r="AK44" s="298">
        <f>Februar!AM44</f>
        <v>0</v>
      </c>
      <c r="AL44" s="298">
        <f>COUNTIF($AF10:$AF40,$AG44)</f>
        <v>0</v>
      </c>
      <c r="AM44" s="455">
        <f t="shared" ref="AM44:AM48"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Februar!AM45</f>
        <v>0</v>
      </c>
      <c r="AL45" s="298">
        <f t="shared" ref="AL45:AL46" si="16">COUNTIF($AF11:$AF41,$AG45)</f>
        <v>0</v>
      </c>
      <c r="AM45" s="300">
        <f t="shared" si="15"/>
        <v>0</v>
      </c>
      <c r="AN45" s="345"/>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20.150000000000006</v>
      </c>
      <c r="I46" s="432">
        <f>SUM(I43:I45)</f>
        <v>-483.60000000000014</v>
      </c>
      <c r="J46" s="433"/>
      <c r="L46" s="450" t="str">
        <f ca="1">IF(P46&lt;&gt;"","Hinweis:","")</f>
        <v>Hinweis:</v>
      </c>
      <c r="M46" s="450"/>
      <c r="N46" s="450"/>
      <c r="O46" s="450"/>
      <c r="P46" s="475"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Es liegt ein Zeitdefizit vor. Bitte setzen Sie sich mit Ihrem Vorgesetzten in Verbindung.</v>
      </c>
      <c r="Q46" s="475"/>
      <c r="R46" s="475"/>
      <c r="S46" s="475"/>
      <c r="T46" s="475"/>
      <c r="U46" s="475"/>
      <c r="V46" s="475"/>
      <c r="W46" s="475"/>
      <c r="X46" s="475"/>
      <c r="Y46" s="475"/>
      <c r="Z46" s="475"/>
      <c r="AA46" s="475"/>
      <c r="AB46" s="475"/>
      <c r="AC46" s="475"/>
      <c r="AD46" s="475"/>
      <c r="AE46" s="475"/>
      <c r="AF46" s="475"/>
      <c r="AG46" s="323" t="s">
        <v>43</v>
      </c>
      <c r="AH46" s="299"/>
      <c r="AI46" s="297"/>
      <c r="AJ46" s="297"/>
      <c r="AK46" s="298">
        <f>Februar!AM46</f>
        <v>0</v>
      </c>
      <c r="AL46" s="298">
        <f t="shared" si="16"/>
        <v>0</v>
      </c>
      <c r="AM46" s="455">
        <f t="shared" si="15"/>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Februar!AM47</f>
        <v>0</v>
      </c>
      <c r="AL47" s="298">
        <f>COUNTIF($AF13:$AF42,$AG47)</f>
        <v>0</v>
      </c>
      <c r="AM47" s="455">
        <f t="shared" si="15"/>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Februar!AM48</f>
        <v>0</v>
      </c>
      <c r="AL48" s="317">
        <f>COUNTIF($AF14:$AF42,$AG48)</f>
        <v>0</v>
      </c>
      <c r="AM48" s="471">
        <f t="shared" si="15"/>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I49-Februar!I53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6.825000000000002</v>
      </c>
      <c r="H56" s="268">
        <f>(F56-G56)*24</f>
        <v>-163.80000000000004</v>
      </c>
      <c r="I56" s="423">
        <f>Februar!I56+H56</f>
        <v>-483.60000000000014</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7">SUMIF($D$9:$D$39,$A57,$H$9:$H$39)+SUMIF($I$9:$I$39,$A57,$M$9:$M$39)+SUMIF($N$9:$N$39,$A57,$R$9:$R$39)+SUMIF($S$9:$S$39,$A57,$V$9:$V$39)-SUMIF($W$9:$W$39,$A57,$Y$9:$Y$39)/24</f>
        <v>0</v>
      </c>
      <c r="G57" s="230">
        <f>AB40</f>
        <v>0</v>
      </c>
      <c r="H57" s="219">
        <f t="shared" ref="H57:H58" si="18">(F57-G57)*24</f>
        <v>0</v>
      </c>
      <c r="I57" s="425">
        <f>Februar!I57+H57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7"/>
        <v>0</v>
      </c>
      <c r="G58" s="359">
        <f>AC40</f>
        <v>0</v>
      </c>
      <c r="H58" s="360">
        <f t="shared" si="18"/>
        <v>0</v>
      </c>
      <c r="I58" s="427">
        <f>Februar!I58+H58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0">
    <mergeCell ref="L57:AD57"/>
    <mergeCell ref="L51:AD51"/>
    <mergeCell ref="L46:O46"/>
    <mergeCell ref="AM48:AN48"/>
    <mergeCell ref="AG47:AH47"/>
    <mergeCell ref="AG48:AH48"/>
    <mergeCell ref="AM42:AN42"/>
    <mergeCell ref="AM43:AN43"/>
    <mergeCell ref="AM44:AN44"/>
    <mergeCell ref="AM46:AN46"/>
    <mergeCell ref="AM47:AN47"/>
    <mergeCell ref="A1:AN1"/>
    <mergeCell ref="D7:H7"/>
    <mergeCell ref="I7:M7"/>
    <mergeCell ref="N7:R7"/>
    <mergeCell ref="W7:X7"/>
    <mergeCell ref="AA7:AD7"/>
    <mergeCell ref="AK7:AN7"/>
    <mergeCell ref="B7:C7"/>
    <mergeCell ref="AH4:AJ4"/>
    <mergeCell ref="S7:V7"/>
    <mergeCell ref="AG43:AH43"/>
    <mergeCell ref="AG44:AH44"/>
    <mergeCell ref="A49:H49"/>
    <mergeCell ref="A50:H50"/>
    <mergeCell ref="A51:H51"/>
    <mergeCell ref="I48:J48"/>
    <mergeCell ref="P46:AF47"/>
    <mergeCell ref="I42:J42"/>
    <mergeCell ref="I43:J43"/>
    <mergeCell ref="I44:J44"/>
    <mergeCell ref="I46:J46"/>
    <mergeCell ref="B56:E56"/>
    <mergeCell ref="A42:G42"/>
    <mergeCell ref="A43:G43"/>
    <mergeCell ref="A44:G44"/>
    <mergeCell ref="A46:G46"/>
    <mergeCell ref="A48:H48"/>
    <mergeCell ref="A53:H53"/>
    <mergeCell ref="I49:J49"/>
    <mergeCell ref="I50:J50"/>
    <mergeCell ref="I51:J51"/>
    <mergeCell ref="I53:J53"/>
    <mergeCell ref="B57:E57"/>
    <mergeCell ref="B58:E58"/>
    <mergeCell ref="I55:J55"/>
    <mergeCell ref="I56:J56"/>
    <mergeCell ref="I57:J57"/>
    <mergeCell ref="I58:J58"/>
    <mergeCell ref="B55:E55"/>
  </mergeCells>
  <conditionalFormatting sqref="A9:AN39">
    <cfRule type="expression" priority="1">
      <formula>AND(WEEKDAY($C9)&gt;1,WEEKDAY($C9)&lt;7)</formula>
    </cfRule>
  </conditionalFormatting>
  <conditionalFormatting sqref="H9:H39">
    <cfRule type="expression" dxfId="111" priority="7">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110" priority="8">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108" priority="9">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103" priority="18">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600-000000000000}">
      <formula1>0</formula1>
      <formula2>0.333333333333333</formula2>
    </dataValidation>
    <dataValidation type="list" allowBlank="1" showInputMessage="1" sqref="D9:D39 N9:N39 I9:I39" xr:uid="{00000000-0002-0000-0600-000001000000}">
      <formula1>"1,2,3"</formula1>
    </dataValidation>
    <dataValidation type="list" allowBlank="1" showInputMessage="1" showErrorMessage="1" sqref="W9:W39" xr:uid="{00000000-0002-0000-06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32ED2E83-9C86-4AAF-BD57-2ECA4F957ED1}">
            <xm:f>OR(COUNTIF(Grunddaten!$F$35:$F$58,$C10)&gt;0,WEEKDAY($C10)=1,WEEKDAY($C10)=7)</xm:f>
            <x14:dxf>
              <fill>
                <patternFill>
                  <bgColor theme="4" tint="0.79998168889431442"/>
                </patternFill>
              </fill>
              <border>
                <top style="thin">
                  <color theme="0"/>
                </top>
                <bottom style="thin">
                  <color theme="0"/>
                </bottom>
              </border>
            </x14:dxf>
          </x14:cfRule>
          <xm:sqref>D10:F39</xm:sqref>
        </x14:conditionalFormatting>
        <x14:conditionalFormatting xmlns:xm="http://schemas.microsoft.com/office/excel/2006/main">
          <x14:cfRule type="expression" priority="4" id="{959E32B8-1794-484C-AE4B-1D220B67B951}">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3" id="{8599D6E2-BC4B-422B-A2A3-84CADB415D39}">
            <xm:f>OR(COUNTIF(Grunddaten!$F$35:$F$58,$C10)&gt;0,WEEKDAY($C10)=1,WEEKDAY($C10)=7)</xm:f>
            <x14:dxf>
              <fill>
                <patternFill>
                  <bgColor theme="4" tint="0.79998168889431442"/>
                </patternFill>
              </fill>
              <border>
                <top style="thin">
                  <color theme="0"/>
                </top>
                <bottom style="thin">
                  <color theme="0"/>
                </bottom>
              </border>
            </x14:dxf>
          </x14:cfRule>
          <xm:sqref>G10:N39</xm:sqref>
        </x14:conditionalFormatting>
        <x14:conditionalFormatting xmlns:xm="http://schemas.microsoft.com/office/excel/2006/main">
          <x14:cfRule type="expression" priority="15" id="{4CCAD087-80C6-4E6C-A05A-4D95C36F9E56}">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6" id="{F2292E0A-DDBF-4B9D-A67A-E824D31D40A1}">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11" id="{6A8C010E-CDEC-403D-A353-E28106A8B890}">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27" id="{1D209107-C08D-4080-8471-EE0B5CD7AD61}">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7" id="{737A98DE-DE62-41F2-91CC-FAC63E0518BF}">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3000000}">
          <x14:formula1>
            <xm:f>Grunddaten!$B$16:$B$21</xm:f>
          </x14:formula1>
          <xm:sqref>S9:S39</xm:sqref>
        </x14:dataValidation>
        <x14:dataValidation type="list" allowBlank="1" showInputMessage="1" xr:uid="{00000000-0002-0000-0600-000004000000}">
          <x14:formula1>
            <xm:f>Grunddaten!$F$15:$F$32</xm:f>
          </x14:formula1>
          <xm:sqref>AF9:AF23</xm:sqref>
        </x14:dataValidation>
        <x14:dataValidation type="list" allowBlank="1" showInputMessage="1" xr:uid="{00000000-0002-0000-0600-000005000000}">
          <x14:formula1>
            <xm:f>Grunddaten!$F$14:$F$32</xm:f>
          </x14:formula1>
          <xm:sqref>AF24:AF39</xm:sqref>
        </x14:dataValidation>
        <x14:dataValidation type="list" allowBlank="1" showInputMessage="1" xr:uid="{00000000-0002-0000-0600-000006000000}">
          <x14:formula1>
            <xm:f>Grunddaten!$F$62:$F$92</xm:f>
          </x14:formula1>
          <xm:sqref>AG9:AG39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6">
    <tabColor theme="7" tint="0.79998168889431442"/>
    <pageSetUpPr fitToPage="1"/>
  </sheetPr>
  <dimension ref="A1:AN68"/>
  <sheetViews>
    <sheetView showGridLines="0" zoomScale="75" zoomScaleNormal="75" workbookViewId="0">
      <pane ySplit="8" topLeftCell="A21"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176</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14</v>
      </c>
      <c r="B9" s="283" t="str">
        <f>IF(WEEKDAY($C9,1)=1,"So.",IF(WEEKDAY($C9,1)=2,"Mo.",IF(WEEKDAY($C9,1)=3,"Di.",IF(WEEKDAY($C9,1)=4,"Mi.",IF(WEEKDAY($C9,1)=5,"Do.",IF(WEEKDAY($C9,1)=6,"Fr.","Sa."))))))</f>
        <v>Di.</v>
      </c>
      <c r="C9" s="295">
        <f>DATE(Grunddaten!G9,4,1)</f>
        <v>45748</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0.32500000000000001</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0.32500000000000001</v>
      </c>
      <c r="AE9" s="290">
        <f>(Z9-AD9)*24+I44</f>
        <v>-491.40000000000015</v>
      </c>
      <c r="AF9" s="292" t="str">
        <f>IFERROR(VLOOKUP($C9,Grunddaten!$F$36:$G$59,2,0),"")</f>
        <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8" si="3">WEEKNUM($C10)</f>
        <v>14</v>
      </c>
      <c r="B10" s="283" t="str">
        <f t="shared" ref="B10:B38" si="4">IF(WEEKDAY($C10,1)=1,"So.",IF(WEEKDAY($C10,1)=2,"Mo.",IF(WEEKDAY($C10,1)=3,"Di.",IF(WEEKDAY($C10,1)=4,"Mi.",IF(WEEKDAY($C10,1)=5,"Do.",IF(WEEKDAY($C10,1)=6,"Fr.","Sa."))))))</f>
        <v>Mi.</v>
      </c>
      <c r="C10" s="295">
        <f>C9+1</f>
        <v>45749</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-499.20000000000016</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14</v>
      </c>
      <c r="B11" s="283" t="str">
        <f t="shared" si="4"/>
        <v>Do.</v>
      </c>
      <c r="C11" s="295">
        <f t="shared" ref="C11:C38" si="10">C10+1</f>
        <v>45750</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0.32500000000000001</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0.32500000000000001</v>
      </c>
      <c r="AE11" s="290">
        <f t="shared" ref="AE11:AE39" si="11">(Z11-AD11)*24+AE10</f>
        <v>-507.00000000000017</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14</v>
      </c>
      <c r="B12" s="283" t="str">
        <f t="shared" si="4"/>
        <v>Fr.</v>
      </c>
      <c r="C12" s="295">
        <f t="shared" si="10"/>
        <v>45751</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0.32500000000000001</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0.32500000000000001</v>
      </c>
      <c r="AE12" s="290">
        <f t="shared" si="11"/>
        <v>-514.80000000000018</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14</v>
      </c>
      <c r="B13" s="283" t="str">
        <f t="shared" si="4"/>
        <v>Sa.</v>
      </c>
      <c r="C13" s="295">
        <f t="shared" si="10"/>
        <v>45752</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v>
      </c>
      <c r="AE13" s="290">
        <f t="shared" si="11"/>
        <v>-514.80000000000018</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15</v>
      </c>
      <c r="B14" s="283" t="str">
        <f t="shared" si="4"/>
        <v>So.</v>
      </c>
      <c r="C14" s="295">
        <f t="shared" si="10"/>
        <v>45753</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v>
      </c>
      <c r="AE14" s="290">
        <f t="shared" si="11"/>
        <v>-514.80000000000018</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15</v>
      </c>
      <c r="B15" s="283" t="str">
        <f t="shared" si="4"/>
        <v>Mo.</v>
      </c>
      <c r="C15" s="295">
        <f t="shared" si="10"/>
        <v>45754</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-522.60000000000014</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15</v>
      </c>
      <c r="B16" s="283" t="str">
        <f t="shared" si="4"/>
        <v>Di.</v>
      </c>
      <c r="C16" s="295">
        <f t="shared" si="10"/>
        <v>45755</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-530.40000000000009</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15</v>
      </c>
      <c r="B17" s="283" t="str">
        <f t="shared" si="4"/>
        <v>Mi.</v>
      </c>
      <c r="C17" s="295">
        <f t="shared" si="10"/>
        <v>45756</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-538.20000000000005</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15</v>
      </c>
      <c r="B18" s="283" t="str">
        <f t="shared" si="4"/>
        <v>Do.</v>
      </c>
      <c r="C18" s="295">
        <f t="shared" si="10"/>
        <v>45757</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0.32500000000000001</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0.32500000000000001</v>
      </c>
      <c r="AE18" s="290">
        <f t="shared" si="11"/>
        <v>-546</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15</v>
      </c>
      <c r="B19" s="283" t="str">
        <f t="shared" si="4"/>
        <v>Fr.</v>
      </c>
      <c r="C19" s="295">
        <f t="shared" si="10"/>
        <v>45758</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0.32500000000000001</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0.32500000000000001</v>
      </c>
      <c r="AE19" s="290">
        <f t="shared" si="11"/>
        <v>-553.79999999999995</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15</v>
      </c>
      <c r="B20" s="283" t="str">
        <f t="shared" si="4"/>
        <v>Sa.</v>
      </c>
      <c r="C20" s="295">
        <f t="shared" si="10"/>
        <v>45759</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v>
      </c>
      <c r="AE20" s="290">
        <f t="shared" si="11"/>
        <v>-553.79999999999995</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16</v>
      </c>
      <c r="B21" s="283" t="str">
        <f t="shared" si="4"/>
        <v>So.</v>
      </c>
      <c r="C21" s="295">
        <f t="shared" si="10"/>
        <v>45760</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v>
      </c>
      <c r="AE21" s="290">
        <f t="shared" si="11"/>
        <v>-553.79999999999995</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16</v>
      </c>
      <c r="B22" s="283" t="str">
        <f t="shared" si="4"/>
        <v>Mo.</v>
      </c>
      <c r="C22" s="295">
        <f t="shared" si="10"/>
        <v>45761</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-561.59999999999991</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16</v>
      </c>
      <c r="B23" s="283" t="str">
        <f t="shared" si="4"/>
        <v>Di.</v>
      </c>
      <c r="C23" s="295">
        <f t="shared" si="10"/>
        <v>45762</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-569.39999999999986</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16</v>
      </c>
      <c r="B24" s="283" t="str">
        <f t="shared" si="4"/>
        <v>Mi.</v>
      </c>
      <c r="C24" s="295">
        <f t="shared" si="10"/>
        <v>45763</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-577.19999999999982</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16</v>
      </c>
      <c r="B25" s="283" t="str">
        <f t="shared" si="4"/>
        <v>Do.</v>
      </c>
      <c r="C25" s="295">
        <f t="shared" si="10"/>
        <v>45764</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0.32500000000000001</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0.32500000000000001</v>
      </c>
      <c r="AE25" s="290">
        <f t="shared" si="11"/>
        <v>-584.99999999999977</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16</v>
      </c>
      <c r="B26" s="283" t="str">
        <f t="shared" si="4"/>
        <v>Fr.</v>
      </c>
      <c r="C26" s="295">
        <f t="shared" si="10"/>
        <v>45765</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v>
      </c>
      <c r="AE26" s="290">
        <f t="shared" si="11"/>
        <v>-584.99999999999977</v>
      </c>
      <c r="AF26" s="292" t="str">
        <f>IFERROR(VLOOKUP($C26,Grunddaten!$F$36:$G$59,2,0),"")</f>
        <v>Karfreitag</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16</v>
      </c>
      <c r="B27" s="283" t="str">
        <f t="shared" si="4"/>
        <v>Sa.</v>
      </c>
      <c r="C27" s="295">
        <f t="shared" si="10"/>
        <v>45766</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v>
      </c>
      <c r="AE27" s="290">
        <f t="shared" si="11"/>
        <v>-584.99999999999977</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17</v>
      </c>
      <c r="B28" s="283" t="str">
        <f t="shared" si="4"/>
        <v>So.</v>
      </c>
      <c r="C28" s="295">
        <f t="shared" si="10"/>
        <v>45767</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v>
      </c>
      <c r="AE28" s="290">
        <f t="shared" si="11"/>
        <v>-584.99999999999977</v>
      </c>
      <c r="AF28" s="292" t="str">
        <f>IFERROR(VLOOKUP($C28,Grunddaten!$F$36:$G$59,2,0),"")</f>
        <v>Ostersonntag</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17</v>
      </c>
      <c r="B29" s="283" t="str">
        <f t="shared" si="4"/>
        <v>Mo.</v>
      </c>
      <c r="C29" s="295">
        <f t="shared" si="10"/>
        <v>45768</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v>
      </c>
      <c r="AE29" s="290">
        <f t="shared" si="11"/>
        <v>-584.99999999999977</v>
      </c>
      <c r="AF29" s="292" t="str">
        <f>IFERROR(VLOOKUP($C29,Grunddaten!$F$36:$G$59,2,0),"")</f>
        <v>Ostermontag</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17</v>
      </c>
      <c r="B30" s="283" t="str">
        <f t="shared" si="4"/>
        <v>Di.</v>
      </c>
      <c r="C30" s="295">
        <f t="shared" si="10"/>
        <v>45769</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-592.79999999999973</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17</v>
      </c>
      <c r="B31" s="283" t="str">
        <f t="shared" si="4"/>
        <v>Mi.</v>
      </c>
      <c r="C31" s="295">
        <f t="shared" si="10"/>
        <v>45770</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-600.59999999999968</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17</v>
      </c>
      <c r="B32" s="283" t="str">
        <f t="shared" si="4"/>
        <v>Do.</v>
      </c>
      <c r="C32" s="295">
        <f t="shared" si="10"/>
        <v>45771</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0.32500000000000001</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0.32500000000000001</v>
      </c>
      <c r="AE32" s="290">
        <f t="shared" si="11"/>
        <v>-608.39999999999964</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17</v>
      </c>
      <c r="B33" s="283" t="str">
        <f t="shared" si="4"/>
        <v>Fr.</v>
      </c>
      <c r="C33" s="295">
        <f t="shared" si="10"/>
        <v>45772</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0.32500000000000001</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0.32500000000000001</v>
      </c>
      <c r="AE33" s="290">
        <f t="shared" si="11"/>
        <v>-616.19999999999959</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17</v>
      </c>
      <c r="B34" s="283" t="str">
        <f t="shared" si="4"/>
        <v>Sa.</v>
      </c>
      <c r="C34" s="295">
        <f t="shared" si="10"/>
        <v>45773</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v>
      </c>
      <c r="AE34" s="290">
        <f t="shared" si="11"/>
        <v>-616.19999999999959</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18</v>
      </c>
      <c r="B35" s="283" t="str">
        <f t="shared" si="4"/>
        <v>So.</v>
      </c>
      <c r="C35" s="295">
        <f t="shared" si="10"/>
        <v>45774</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v>
      </c>
      <c r="AE35" s="290">
        <f t="shared" si="11"/>
        <v>-616.19999999999959</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18</v>
      </c>
      <c r="B36" s="283" t="str">
        <f t="shared" si="4"/>
        <v>Mo.</v>
      </c>
      <c r="C36" s="295">
        <f t="shared" si="10"/>
        <v>45775</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-623.99999999999955</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18</v>
      </c>
      <c r="B37" s="283" t="str">
        <f t="shared" si="4"/>
        <v>Di.</v>
      </c>
      <c r="C37" s="295">
        <f t="shared" si="10"/>
        <v>45776</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0.32500000000000001</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0.32500000000000001</v>
      </c>
      <c r="AE37" s="290">
        <f t="shared" si="11"/>
        <v>-631.7999999999995</v>
      </c>
      <c r="AF37" s="292" t="str">
        <f>IFERROR(VLOOKUP($C37,Grunddaten!$F$36:$G$59,2,0),"")</f>
        <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18</v>
      </c>
      <c r="B38" s="283" t="str">
        <f t="shared" si="4"/>
        <v>Mi.</v>
      </c>
      <c r="C38" s="295">
        <f t="shared" si="10"/>
        <v>45777</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-639.59999999999945</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hidden="1" customHeight="1" x14ac:dyDescent="0.35">
      <c r="A39" s="331"/>
      <c r="B39" s="283"/>
      <c r="C39" s="295"/>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-639.59999999999945</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6.5000000000000018</v>
      </c>
      <c r="AB40" s="336">
        <f t="shared" si="14"/>
        <v>0</v>
      </c>
      <c r="AC40" s="336">
        <f t="shared" si="14"/>
        <v>0</v>
      </c>
      <c r="AD40" s="336">
        <f>SUM(AD9:AD39)</f>
        <v>6.5000000000000018</v>
      </c>
      <c r="AE40" s="338">
        <f>(Z40-AD40)*24+I44</f>
        <v>-639.60000000000014</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APRIL</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6.5000000000000027</v>
      </c>
      <c r="I43" s="430">
        <f>(Z40-AD40)*24</f>
        <v>-156.00000000000006</v>
      </c>
      <c r="J43" s="431"/>
      <c r="L43" s="208" t="s">
        <v>163</v>
      </c>
      <c r="P43" s="213">
        <f>'AZ-Modell'!F9</f>
        <v>5</v>
      </c>
      <c r="U43" s="214"/>
      <c r="V43" s="214"/>
      <c r="W43" s="214"/>
      <c r="AE43" s="254"/>
      <c r="AG43" s="457" t="s">
        <v>32</v>
      </c>
      <c r="AH43" s="458"/>
      <c r="AI43" s="297"/>
      <c r="AJ43" s="297"/>
      <c r="AK43" s="298">
        <f>März!AM43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20.150000000000006</v>
      </c>
      <c r="I44" s="430">
        <f>März!I46</f>
        <v>-483.60000000000014</v>
      </c>
      <c r="J44" s="431"/>
      <c r="L44" s="208" t="s">
        <v>164</v>
      </c>
      <c r="P44" s="220">
        <f>'AZ-Modell'!F11</f>
        <v>1.625</v>
      </c>
      <c r="U44" s="214"/>
      <c r="V44" s="214"/>
      <c r="W44" s="214"/>
      <c r="AE44" s="254"/>
      <c r="AG44" s="457" t="s">
        <v>41</v>
      </c>
      <c r="AH44" s="458"/>
      <c r="AI44" s="297"/>
      <c r="AJ44" s="297"/>
      <c r="AK44" s="298">
        <f>März!AM44</f>
        <v>0</v>
      </c>
      <c r="AL44" s="298">
        <f>COUNTIF($AF10:$AF40,$AG44)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März!AM45</f>
        <v>0</v>
      </c>
      <c r="AL45" s="298">
        <f t="shared" ref="AL45:AL46" si="16">COUNTIF($AF11:$AF41,$AG45)</f>
        <v>0</v>
      </c>
      <c r="AM45" s="455">
        <f t="shared" ref="AM45:AM47"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26.650000000000006</v>
      </c>
      <c r="I46" s="432">
        <f>SUM(I43:I45)</f>
        <v>-639.60000000000014</v>
      </c>
      <c r="J46" s="433"/>
      <c r="L46" s="450" t="str">
        <f ca="1">IF(P46&lt;&gt;"","Hinweis:","")</f>
        <v/>
      </c>
      <c r="M46" s="450"/>
      <c r="N46" s="450"/>
      <c r="O46" s="450"/>
      <c r="P46" s="475" t="str">
        <f ca="1">IF(TODAY()&gt;=C38,IF((I46/24)&gt;P44,"Ihr Zeitguthaben ist größer als die mit Ihnen vereinbarte Wochenarbeitszeit. Bitte setzen Sie sich mit Ihrem Vorgesetzten in Verbindung.",IF((I46/24)&lt;0,"Es liegt ein Zeitdefizit vor. Bitte setzen Sie sich mit Ihrem Vorgesetzten in Verbindung.","Ihr Zeitguthaben ist in Ordnung")),"")</f>
        <v/>
      </c>
      <c r="Q46" s="475"/>
      <c r="R46" s="475"/>
      <c r="S46" s="475"/>
      <c r="T46" s="475"/>
      <c r="U46" s="475"/>
      <c r="V46" s="475"/>
      <c r="W46" s="475"/>
      <c r="X46" s="475"/>
      <c r="Y46" s="475"/>
      <c r="Z46" s="475"/>
      <c r="AA46" s="475"/>
      <c r="AB46" s="475"/>
      <c r="AC46" s="475"/>
      <c r="AD46" s="475"/>
      <c r="AE46" s="475"/>
      <c r="AF46" s="475"/>
      <c r="AG46" s="323" t="s">
        <v>43</v>
      </c>
      <c r="AH46" s="299"/>
      <c r="AI46" s="297"/>
      <c r="AJ46" s="297"/>
      <c r="AK46" s="298">
        <f>März!AM46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März!AM47</f>
        <v>0</v>
      </c>
      <c r="AL47" s="298">
        <f>COUNTIF($AF13:$AF42,$AG47)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März!AM48</f>
        <v>0</v>
      </c>
      <c r="AL48" s="317">
        <f>COUNTIF($AF14:$AF42,$AG48)</f>
        <v>0</v>
      </c>
      <c r="AM48" s="471">
        <f t="shared" ref="AM48" si="18">SUM(AK48:AL48)</f>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I49-März!I53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6.5000000000000018</v>
      </c>
      <c r="H56" s="268">
        <f>(F56-G56)*24</f>
        <v>-156.00000000000006</v>
      </c>
      <c r="I56" s="423">
        <f>März!I56+H56</f>
        <v>-639.60000000000014</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9">SUMIF($D$9:$D$39,$A57,$H$9:$H$39)+SUMIF($I$9:$I$39,$A57,$M$9:$M$39)+SUMIF($N$9:$N$39,$A57,$R$9:$R$39)+SUMIF($S$9:$S$39,$A57,$V$9:$V$39)-SUMIF($W$9:$W$39,$A57,$Y$9:$Y$39)/24</f>
        <v>0</v>
      </c>
      <c r="G57" s="230">
        <f>AB40</f>
        <v>0</v>
      </c>
      <c r="H57" s="219">
        <f t="shared" ref="H57:H58" si="20">(F57-G57)*24</f>
        <v>0</v>
      </c>
      <c r="I57" s="425">
        <f>März!I57+H57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9"/>
        <v>0</v>
      </c>
      <c r="G58" s="359">
        <f>AC40</f>
        <v>0</v>
      </c>
      <c r="H58" s="360">
        <f t="shared" si="20"/>
        <v>0</v>
      </c>
      <c r="I58" s="427">
        <f>März!I58+H58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4:AH44"/>
    <mergeCell ref="AG47:AH47"/>
    <mergeCell ref="AG48:AH48"/>
    <mergeCell ref="L46:O46"/>
    <mergeCell ref="A1:AN1"/>
    <mergeCell ref="AK7:AN7"/>
    <mergeCell ref="B7:C7"/>
    <mergeCell ref="AH4:AJ4"/>
    <mergeCell ref="AA7:AD7"/>
    <mergeCell ref="S7:V7"/>
    <mergeCell ref="W7:X7"/>
    <mergeCell ref="D7:H7"/>
    <mergeCell ref="I7:M7"/>
    <mergeCell ref="N7:R7"/>
    <mergeCell ref="I42:J42"/>
    <mergeCell ref="I43:J43"/>
    <mergeCell ref="I44:J44"/>
    <mergeCell ref="I46:J46"/>
    <mergeCell ref="AG43:AH43"/>
    <mergeCell ref="P46:AF47"/>
    <mergeCell ref="A42:G42"/>
    <mergeCell ref="A43:G43"/>
    <mergeCell ref="A44:G44"/>
    <mergeCell ref="A46:G46"/>
    <mergeCell ref="A48:H48"/>
    <mergeCell ref="A49:H49"/>
    <mergeCell ref="A50:H50"/>
    <mergeCell ref="A51:H51"/>
    <mergeCell ref="A53:H53"/>
    <mergeCell ref="I48:J48"/>
    <mergeCell ref="I49:J49"/>
    <mergeCell ref="I50:J50"/>
    <mergeCell ref="I51:J51"/>
    <mergeCell ref="I53:J53"/>
    <mergeCell ref="B55:E55"/>
    <mergeCell ref="B56:E56"/>
    <mergeCell ref="B57:E57"/>
    <mergeCell ref="B58:E58"/>
    <mergeCell ref="I55:J55"/>
    <mergeCell ref="I56:J56"/>
    <mergeCell ref="I57:J57"/>
    <mergeCell ref="I58:J58"/>
  </mergeCells>
  <conditionalFormatting sqref="A9:AN39">
    <cfRule type="expression" priority="1">
      <formula>AND(WEEKDAY($C9)&gt;1,WEEKDAY($C9)&lt;7)</formula>
    </cfRule>
  </conditionalFormatting>
  <conditionalFormatting sqref="H9:H39">
    <cfRule type="expression" dxfId="100"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99"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97"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92" priority="16">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700-000000000000}">
      <formula1>0</formula1>
      <formula2>0.333333333333333</formula2>
    </dataValidation>
    <dataValidation type="list" allowBlank="1" showInputMessage="1" sqref="D9:D39 N9:N39 I9:I39" xr:uid="{00000000-0002-0000-0700-000001000000}">
      <formula1>"1,2,3"</formula1>
    </dataValidation>
    <dataValidation type="list" allowBlank="1" showInputMessage="1" showErrorMessage="1" sqref="W9:W39" xr:uid="{00000000-0002-0000-07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7BC702C4-6B56-4D90-A4B3-7B2446458BFE}">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1" id="{869F047B-882B-4BD5-B5D7-8EEE7B575D70}">
            <xm:f>OR(COUNTIF(Grunddaten!$F$35:$F$58,$C10)&gt;0,WEEKDAY($C10)=1,WEEKDAY($C10)=7)</xm:f>
            <x14:dxf>
              <fill>
                <patternFill>
                  <bgColor theme="4" tint="0.79998168889431442"/>
                </patternFill>
              </fill>
              <border>
                <top style="thin">
                  <color theme="0"/>
                </top>
                <bottom style="thin">
                  <color theme="0"/>
                </bottom>
              </border>
            </x14:dxf>
          </x14:cfRule>
          <xm:sqref>D10:N39</xm:sqref>
        </x14:conditionalFormatting>
        <x14:conditionalFormatting xmlns:xm="http://schemas.microsoft.com/office/excel/2006/main">
          <x14:cfRule type="expression" priority="13" id="{AB619709-F29F-4307-ABBB-1E7AB6BD0A17}">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4" id="{13922A9A-97AF-47AD-8DC8-32C8728EE812}">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9F17DC02-6CC2-4C96-8E06-1457D8C05614}">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35" id="{79C0C509-F7F8-407A-9FCE-F7404F188AB6}">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5" id="{8DEF7331-D371-42E7-AA90-00049D40D5EB}">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Grunddaten!$B$16:$B$21</xm:f>
          </x14:formula1>
          <xm:sqref>S9:S39</xm:sqref>
        </x14:dataValidation>
        <x14:dataValidation type="list" allowBlank="1" showInputMessage="1" xr:uid="{00000000-0002-0000-0700-000004000000}">
          <x14:formula1>
            <xm:f>Grunddaten!$F$15:$F$32</xm:f>
          </x14:formula1>
          <xm:sqref>AF39</xm:sqref>
        </x14:dataValidation>
        <x14:dataValidation type="list" allowBlank="1" showInputMessage="1" xr:uid="{00000000-0002-0000-0700-000005000000}">
          <x14:formula1>
            <xm:f>Grunddaten!$F$63:$F$92</xm:f>
          </x14:formula1>
          <xm:sqref>AG39</xm:sqref>
        </x14:dataValidation>
        <x14:dataValidation type="list" allowBlank="1" showInputMessage="1" xr:uid="{00000000-0002-0000-0700-000006000000}">
          <x14:formula1>
            <xm:f>Grunddaten!$F$14:$F$32</xm:f>
          </x14:formula1>
          <xm:sqref>AF9:AF38</xm:sqref>
        </x14:dataValidation>
        <x14:dataValidation type="list" allowBlank="1" showInputMessage="1" xr:uid="{00000000-0002-0000-0700-000007000000}">
          <x14:formula1>
            <xm:f>Grunddaten!$F$62:$F$92</xm:f>
          </x14:formula1>
          <xm:sqref>AG9:AG38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7">
    <tabColor theme="7" tint="0.79998168889431442"/>
    <pageSetUpPr fitToPage="1"/>
  </sheetPr>
  <dimension ref="A1:AN68"/>
  <sheetViews>
    <sheetView showGridLines="0" zoomScale="75" zoomScaleNormal="75" workbookViewId="0">
      <pane ySplit="8" topLeftCell="A24" activePane="bottomLeft" state="frozen"/>
      <selection activeCell="E9" sqref="E9"/>
      <selection pane="bottomLeft" activeCell="E9" sqref="E9"/>
    </sheetView>
  </sheetViews>
  <sheetFormatPr baseColWidth="10" defaultColWidth="11.453125" defaultRowHeight="12" outlineLevelCol="1" x14ac:dyDescent="0.25"/>
  <cols>
    <col min="1" max="3" width="4.7265625" style="188" customWidth="1"/>
    <col min="4" max="4" width="2.7265625" style="188" customWidth="1"/>
    <col min="5" max="8" width="8.7265625" style="185" customWidth="1"/>
    <col min="9" max="9" width="2.7265625" style="185" customWidth="1"/>
    <col min="10" max="13" width="8.7265625" style="185" customWidth="1"/>
    <col min="14" max="14" width="2.7265625" style="185" customWidth="1"/>
    <col min="15" max="18" width="8.7265625" style="185" customWidth="1"/>
    <col min="19" max="19" width="2.7265625" style="185" customWidth="1" outlineLevel="1"/>
    <col min="20" max="20" width="9" style="185" customWidth="1" outlineLevel="1"/>
    <col min="21" max="21" width="8.7265625" style="185" hidden="1" customWidth="1" outlineLevel="1"/>
    <col min="22" max="22" width="9.1796875" style="189" customWidth="1" outlineLevel="1"/>
    <col min="23" max="23" width="2.7265625" style="189" customWidth="1"/>
    <col min="24" max="24" width="8.81640625" style="189" customWidth="1"/>
    <col min="25" max="25" width="8.81640625" style="189" hidden="1" customWidth="1"/>
    <col min="26" max="26" width="8.7265625" style="185" customWidth="1"/>
    <col min="27" max="29" width="9.7265625" style="185" hidden="1" customWidth="1" outlineLevel="1"/>
    <col min="30" max="30" width="8.81640625" style="185" customWidth="1" collapsed="1"/>
    <col min="31" max="31" width="8.81640625" style="249" customWidth="1"/>
    <col min="32" max="32" width="16.7265625" style="185" customWidth="1"/>
    <col min="33" max="33" width="50.7265625" style="191" customWidth="1"/>
    <col min="34" max="35" width="12.7265625" style="185" hidden="1" customWidth="1" outlineLevel="1"/>
    <col min="36" max="36" width="30" style="185" hidden="1" customWidth="1" outlineLevel="1"/>
    <col min="37" max="38" width="8.81640625" style="185" customWidth="1" collapsed="1"/>
    <col min="39" max="39" width="8.81640625" style="185" customWidth="1"/>
    <col min="40" max="40" width="2.54296875" style="185" customWidth="1"/>
    <col min="41" max="41" width="5.7265625" style="185" customWidth="1"/>
    <col min="42" max="16384" width="11.453125" style="185"/>
  </cols>
  <sheetData>
    <row r="1" spans="1:40" ht="32.5" x14ac:dyDescent="0.65">
      <c r="A1" s="459" t="s">
        <v>138</v>
      </c>
      <c r="B1" s="459"/>
      <c r="C1" s="459"/>
      <c r="D1" s="459"/>
      <c r="E1" s="459"/>
      <c r="F1" s="459"/>
      <c r="G1" s="459"/>
      <c r="H1" s="459"/>
      <c r="I1" s="459"/>
      <c r="J1" s="459"/>
      <c r="K1" s="459"/>
      <c r="L1" s="459"/>
      <c r="M1" s="459"/>
      <c r="N1" s="459"/>
      <c r="O1" s="459"/>
      <c r="P1" s="459"/>
      <c r="Q1" s="459"/>
      <c r="R1" s="459"/>
      <c r="S1" s="459"/>
      <c r="T1" s="459"/>
      <c r="U1" s="459"/>
      <c r="V1" s="459"/>
      <c r="W1" s="459"/>
      <c r="X1" s="459"/>
      <c r="Y1" s="459"/>
      <c r="Z1" s="459"/>
      <c r="AA1" s="459"/>
      <c r="AB1" s="459"/>
      <c r="AC1" s="459"/>
      <c r="AD1" s="459"/>
      <c r="AE1" s="459"/>
      <c r="AF1" s="459"/>
      <c r="AG1" s="459"/>
      <c r="AH1" s="459"/>
      <c r="AI1" s="459"/>
      <c r="AJ1" s="459"/>
      <c r="AK1" s="459"/>
      <c r="AL1" s="459"/>
      <c r="AM1" s="459"/>
      <c r="AN1" s="459"/>
    </row>
    <row r="2" spans="1:40" s="187" customFormat="1" ht="17.5" x14ac:dyDescent="0.35">
      <c r="A2" s="186" t="s">
        <v>28</v>
      </c>
      <c r="B2" s="186"/>
      <c r="F2" s="187" t="str">
        <f>Grunddaten!C10</f>
        <v>Musterperson</v>
      </c>
      <c r="V2" s="281"/>
      <c r="W2" s="281"/>
      <c r="X2" s="281"/>
      <c r="Y2" s="281"/>
      <c r="AE2" s="251"/>
      <c r="AG2" s="199"/>
    </row>
    <row r="3" spans="1:40" s="187" customFormat="1" ht="17.5" x14ac:dyDescent="0.35">
      <c r="A3" s="186" t="s">
        <v>29</v>
      </c>
      <c r="B3" s="186"/>
      <c r="C3" s="186"/>
      <c r="F3" s="187" t="str">
        <f>Grunddaten!C11</f>
        <v>Muster</v>
      </c>
      <c r="V3" s="281"/>
      <c r="W3" s="281"/>
      <c r="X3" s="281"/>
      <c r="Y3" s="281"/>
      <c r="AE3" s="251"/>
      <c r="AG3" s="199"/>
    </row>
    <row r="4" spans="1:40" s="187" customFormat="1" ht="17.5" x14ac:dyDescent="0.35">
      <c r="A4" s="186" t="s">
        <v>139</v>
      </c>
      <c r="B4" s="186"/>
      <c r="C4" s="186"/>
      <c r="F4" s="187" t="str">
        <f>Grunddaten!C16&amp;IF(Grunddaten!C17&lt;&gt;"","/"&amp;Grunddaten!C17,"")&amp;IF(Grunddaten!C18&lt;&gt;"","/"&amp;Grunddaten!C18,"")&amp;IF(Grunddaten!C19&lt;&gt;"","/"&amp;Grunddaten!C19,"")&amp;IF(Grunddaten!C21&lt;&gt;"","/"&amp;Grunddaten!C21,"")</f>
        <v>AAA/BBB/CCC</v>
      </c>
      <c r="V4" s="281"/>
      <c r="W4" s="281"/>
      <c r="X4" s="281"/>
      <c r="Y4" s="281"/>
      <c r="AD4" s="192" t="s">
        <v>30</v>
      </c>
      <c r="AE4" s="250"/>
      <c r="AF4" s="194">
        <f>Grunddaten!$C$12</f>
        <v>12345</v>
      </c>
      <c r="AG4" s="195"/>
      <c r="AH4" s="465" t="s">
        <v>282</v>
      </c>
      <c r="AI4" s="465"/>
      <c r="AJ4" s="465"/>
    </row>
    <row r="5" spans="1:40" x14ac:dyDescent="0.25">
      <c r="D5" s="185"/>
    </row>
    <row r="6" spans="1:40" ht="18" x14ac:dyDescent="0.4">
      <c r="A6" s="196" t="s">
        <v>140</v>
      </c>
      <c r="D6" s="197" t="s">
        <v>177</v>
      </c>
      <c r="G6" s="197">
        <f>Grunddaten!$G$9</f>
        <v>2025</v>
      </c>
      <c r="K6" s="186"/>
      <c r="L6" s="186"/>
      <c r="M6" s="186"/>
      <c r="N6" s="186"/>
      <c r="O6" s="187"/>
      <c r="P6" s="197"/>
      <c r="Q6" s="197"/>
      <c r="T6" s="197"/>
      <c r="U6" s="197"/>
      <c r="AD6" s="187"/>
      <c r="AE6" s="251"/>
      <c r="AF6" s="187"/>
      <c r="AG6" s="199"/>
      <c r="AJ6" s="187"/>
      <c r="AL6" s="187"/>
      <c r="AM6" s="187"/>
      <c r="AN6" s="187"/>
    </row>
    <row r="7" spans="1:40" s="262" customFormat="1" ht="30" customHeight="1" x14ac:dyDescent="0.3">
      <c r="A7" s="324" t="s">
        <v>142</v>
      </c>
      <c r="B7" s="467" t="s">
        <v>316</v>
      </c>
      <c r="C7" s="468"/>
      <c r="D7" s="460" t="s">
        <v>308</v>
      </c>
      <c r="E7" s="461"/>
      <c r="F7" s="461"/>
      <c r="G7" s="461"/>
      <c r="H7" s="462"/>
      <c r="I7" s="460" t="s">
        <v>309</v>
      </c>
      <c r="J7" s="461"/>
      <c r="K7" s="461"/>
      <c r="L7" s="461"/>
      <c r="M7" s="462"/>
      <c r="N7" s="460" t="s">
        <v>310</v>
      </c>
      <c r="O7" s="461"/>
      <c r="P7" s="461"/>
      <c r="Q7" s="461"/>
      <c r="R7" s="462"/>
      <c r="S7" s="460" t="s">
        <v>319</v>
      </c>
      <c r="T7" s="461"/>
      <c r="U7" s="461"/>
      <c r="V7" s="462"/>
      <c r="W7" s="463" t="s">
        <v>311</v>
      </c>
      <c r="X7" s="464"/>
      <c r="Y7" s="325" t="s">
        <v>299</v>
      </c>
      <c r="Z7" s="326" t="s">
        <v>143</v>
      </c>
      <c r="AA7" s="460" t="s">
        <v>144</v>
      </c>
      <c r="AB7" s="461"/>
      <c r="AC7" s="461"/>
      <c r="AD7" s="462"/>
      <c r="AE7" s="327" t="s">
        <v>295</v>
      </c>
      <c r="AF7" s="326" t="s">
        <v>145</v>
      </c>
      <c r="AG7" s="326" t="s">
        <v>185</v>
      </c>
      <c r="AH7" s="326" t="s">
        <v>146</v>
      </c>
      <c r="AI7" s="326" t="s">
        <v>147</v>
      </c>
      <c r="AJ7" s="328" t="s">
        <v>148</v>
      </c>
      <c r="AK7" s="460" t="s">
        <v>149</v>
      </c>
      <c r="AL7" s="461"/>
      <c r="AM7" s="461"/>
      <c r="AN7" s="466"/>
    </row>
    <row r="8" spans="1:40" s="279" customFormat="1" ht="30" customHeight="1" x14ac:dyDescent="0.35">
      <c r="A8" s="329"/>
      <c r="B8" s="270"/>
      <c r="C8" s="269"/>
      <c r="D8" s="271" t="s">
        <v>150</v>
      </c>
      <c r="E8" s="272" t="s">
        <v>151</v>
      </c>
      <c r="F8" s="272" t="s">
        <v>152</v>
      </c>
      <c r="G8" s="272" t="s">
        <v>153</v>
      </c>
      <c r="H8" s="273" t="s">
        <v>154</v>
      </c>
      <c r="I8" s="271" t="s">
        <v>150</v>
      </c>
      <c r="J8" s="272" t="s">
        <v>151</v>
      </c>
      <c r="K8" s="272" t="s">
        <v>152</v>
      </c>
      <c r="L8" s="272" t="s">
        <v>153</v>
      </c>
      <c r="M8" s="273" t="s">
        <v>154</v>
      </c>
      <c r="N8" s="271" t="s">
        <v>150</v>
      </c>
      <c r="O8" s="272" t="s">
        <v>151</v>
      </c>
      <c r="P8" s="272" t="s">
        <v>152</v>
      </c>
      <c r="Q8" s="272" t="s">
        <v>153</v>
      </c>
      <c r="R8" s="273" t="s">
        <v>154</v>
      </c>
      <c r="S8" s="271" t="s">
        <v>150</v>
      </c>
      <c r="T8" s="272" t="s">
        <v>155</v>
      </c>
      <c r="U8" s="272" t="s">
        <v>156</v>
      </c>
      <c r="V8" s="274" t="s">
        <v>157</v>
      </c>
      <c r="W8" s="271" t="s">
        <v>150</v>
      </c>
      <c r="X8" s="274" t="s">
        <v>155</v>
      </c>
      <c r="Y8" s="274" t="s">
        <v>155</v>
      </c>
      <c r="Z8" s="275" t="s">
        <v>155</v>
      </c>
      <c r="AA8" s="272" t="s">
        <v>271</v>
      </c>
      <c r="AB8" s="272" t="s">
        <v>272</v>
      </c>
      <c r="AC8" s="272" t="s">
        <v>285</v>
      </c>
      <c r="AD8" s="275" t="s">
        <v>273</v>
      </c>
      <c r="AE8" s="276" t="s">
        <v>107</v>
      </c>
      <c r="AF8" s="275"/>
      <c r="AG8" s="275"/>
      <c r="AH8" s="275" t="s">
        <v>155</v>
      </c>
      <c r="AI8" s="275" t="s">
        <v>155</v>
      </c>
      <c r="AJ8" s="272"/>
      <c r="AK8" s="277" t="s">
        <v>158</v>
      </c>
      <c r="AL8" s="278" t="s">
        <v>159</v>
      </c>
      <c r="AM8" s="278" t="s">
        <v>160</v>
      </c>
      <c r="AN8" s="330"/>
    </row>
    <row r="9" spans="1:40" s="294" customFormat="1" ht="21" customHeight="1" x14ac:dyDescent="0.35">
      <c r="A9" s="331">
        <f>WEEKNUM($C9)</f>
        <v>18</v>
      </c>
      <c r="B9" s="283" t="str">
        <f>IF(WEEKDAY($C9,1)=1,"So.",IF(WEEKDAY($C9,1)=2,"Mo.",IF(WEEKDAY($C9,1)=3,"Di.",IF(WEEKDAY($C9,1)=4,"Mi.",IF(WEEKDAY($C9,1)=5,"Do.",IF(WEEKDAY($C9,1)=6,"Fr.","Sa."))))))</f>
        <v>Do.</v>
      </c>
      <c r="C9" s="295">
        <f>DATE(Grunddaten!G9,5,1)</f>
        <v>45778</v>
      </c>
      <c r="D9" s="285" t="str">
        <f t="shared" ref="D9:D39" si="0">IF(OR(TRIM($AF9)="Krank",TRIM($AF9)="Urlaub",TRIM($AF9)="Exerzitien",TRIM($AF9)="Wallfahrt",TRIM($AF9)="Arbeitsbefreiung",TRIM($AF9)="Betriebsausflug",TRIM($AF9)="Azubi - Berufsschule",TRIM($AF9)="Azubi - Schriftliche AP",TRIM($AF9)="Azubi - Mündliche AP",TRIM($AF9)="Azubi - Zwischenprüfung",TRIM($AF9)="Azubi - Prüfungsvorbereitung"),1,"")</f>
        <v/>
      </c>
      <c r="E9" s="286"/>
      <c r="F9" s="286"/>
      <c r="G9" s="286"/>
      <c r="H9" s="287">
        <f>IF(OR(TRIM($AF9)="Krank",TRIM($AF9)="Urlaub",TRIM($AF9)="Exerzitien",TRIM($AF9)="Wallfahrt",TRIM($AF9)="Arbeitsbefreiung",TRIM($AF9)="Azubi - Berufsschule",TRIM($AF9)="Azubi - Schriftliche AP",TRIM($AF9)="Azubi - Mündliche AP",TRIM($AF9)="Azubi - Zwischenprüfung",TRIM($AF9)="Azubi - Prüfungsvorbereitung"),$AA9,IF(TRIM($AF9)="Betriebsausflug",IF($Z9=$AD9,$AA9,$AA9+($Z9-$AD9)*HLOOKUP($D$6,'AZ-Modell'!$C$7:$N$44,18,0)),IF(F9&lt;&gt;"",IF(E9&gt;F9,1-(E9-F9)-G9,F9-E9-G9),0)))</f>
        <v>0</v>
      </c>
      <c r="I9" s="285" t="str">
        <f>IF(OR(TRIM($AF9)="Krank",TRIM($AF9)="Urlaub",TRIM($AF9)="Exerzitien",TRIM($AF9)="Wallfahrt",TRIM($AF9)="Arbeitsbefreiung",TRIM($AF9)="Betriebsausflug",TRIM($AF9)="Azubi - Berufsschule",TRIM($AF9)="Azubi - Schriftliche AP",TRIM($AF9)="Azubi - Mündliche AP",TRIM($AF9)="Azubi - Zwischenprüfung",TRIM($AF9)="Azubi - Prüfungsvorbereitung"),2,"")</f>
        <v/>
      </c>
      <c r="J9" s="286"/>
      <c r="K9" s="286"/>
      <c r="L9" s="286"/>
      <c r="M9" s="287">
        <f>IF(OR(TRIM($AF9)="Krank",TRIM($AF9)="Urlaub",TRIM($AF9)="Exerzitien",TRIM($AF9)="Wallfahrt",TRIM($AF9)="Arbeitsbefreiung",TRIM($AF9)="Azubi - Berufsschule",TRIM($AF9)="Azubi - Schriftliche AP",TRIM($AF9)="Azubi - Mündliche AP",TRIM($AF9)="Azubi - Zwischenprüfung",TRIM($AF9)="Azubi - Prüfungsvorbereitung"),$AB9,IF(TRIM($AF9)="Betriebsausflug",IF($Z9=$AD9,$AB9,$AB9+($Z9-$AD9)*HLOOKUP($D$6,'AZ-Modell'!$C$7:$N$44,28,0)),IF(TRIM($AF9)="Namenstag",MAX((4/39)*HLOOKUP($D$6,'AZ-Modell'!$C$7:$N$13,5,0),1/24)+IF(K9&lt;&gt;"",IF(J9&gt;K9,1-(J9-K9)-L9,K9-J9-L9),0),IF(K9&lt;&gt;"",IF(J9&gt;K9,1-(J9-K9)-L9,K9-J9-L9),0))))</f>
        <v>0</v>
      </c>
      <c r="N9" s="285" t="str">
        <f>IF(OR(TRIM($AF9)="Krank",TRIM($AF9)="Urlaub",TRIM($AF9)="Exerzitien",TRIM($AF9)="Wallfahrt",TRIM($AF9)="Arbeitsbefreiung",TRIM($AF9)="Betriebsausflug",TRIM($AF9)="Azubi - Berufsschule",TRIM($AF9)="Azubi - Schriftliche AP",TRIM($AF9)="Azubi - Mündliche AP",TRIM($AF9)="Azubi - Zwischenprüfung",TRIM($AF9)="Azubi - Prüfungsvorbereitung"),3,"")</f>
        <v/>
      </c>
      <c r="O9" s="286"/>
      <c r="P9" s="286"/>
      <c r="Q9" s="286"/>
      <c r="R9" s="287">
        <f>IF(OR(TRIM($AF9)="Krank",TRIM($AF9)="Urlaub",TRIM($AF9)="Exerzitien",TRIM($AF9)="Wallfahrt",TRIM($AF9)="Arbeitsbefreiung",TRIM($AF9)="Azubi - Berufsschule",TRIM($AF9)="Azubi - Schriftliche AP",TRIM($AF9)="Azubi - Mündliche AP",TRIM($AF9)="Azubi - Zwischenprüfung",TRIM($AF9)="Azubi - Prüfungsvorbereitung"),$AC9,IF(TRIM($AF9)="Betriebsausflug",IF($Z9=$AD9,$AC9,$AC9+($Z9-$AD9)*HLOOKUP($D$6,'AZ-Modell'!$C$7:$N$44,38,0)),IF(P9&lt;&gt;"",IF(O9&gt;P9,1-(O9-P9)-Q9,P9-O9-Q9),0)))</f>
        <v>0</v>
      </c>
      <c r="S9" s="285"/>
      <c r="T9" s="286"/>
      <c r="U9" s="286"/>
      <c r="V9" s="288">
        <f>ROUNDUP(($T9)*IF($U9&lt;&gt;0,$U9,IF(COUNT($T$9:$T9)&lt;8,20%,25%))*24/5,2)*5/24</f>
        <v>0</v>
      </c>
      <c r="W9" s="285"/>
      <c r="X9" s="289">
        <v>0</v>
      </c>
      <c r="Y9" s="290">
        <f t="shared" ref="Y9:Y39" si="1">IF(OR(TRIM(AF9="Fortbildung"),TRIM(AF9="Dienstreise")),((H9+M9+R9)-Z9)*24,0)</f>
        <v>0</v>
      </c>
      <c r="Z9" s="291">
        <f>IF(OR(TRIM($AF9)="Krank",TRIM($AF9)="Urlaub",TRIM($AF9)="Exerzitien",TRIM($AF9)="Wallfahrt",TRIM($AF9)="Arbeitsbefreiung"),$AD9,IF(OR(TRIM($AF9)="Azubi - Berufsschule",TRIM($AF9)="Azubi - Schriftliche AP",TRIM($AF9)="Azubi - Mündliche AP",TRIM($AF9)="Azubi - Zwischenprüfung",TRIM($AF9)="Azubi - Prüfungsvorbereitung"),VLOOKUP($AF9,Grunddaten!$F$26:$I$31,4,0),IF(TRIM($AF9)="Betriebsausflug",MAX(AD9,(7.8/39)*HLOOKUP($D$6,'AZ-Modell'!$C$7:$N$13,5,0),1/24),IF(AND(OR(TRIM($AF9)="Fortbildung",TRIM($AF9)="Dienstreise"),(+$H9+$M9+$R9+$V9)&lt;$AD9),$AD9,IF(AND(OR(TRIM($AF9)="Fortbildung",TRIM($AF9)="Dienstreise"),$X9&gt;0,(+$H9+$M9+$R9+$V9)&gt;10/24),10/24,$H9+$M9+$R9+$V9)))))</f>
        <v>0</v>
      </c>
      <c r="AA9" s="291">
        <f>IF(AND($C9&gt;=Grunddaten!$C$30,ISERROR(VLOOKUP($C9,Grunddaten!$F$36:$F$59,1,0)),ISERROR(VLOOKUP(TRIM($AF9),Grunddaten!$F$26:$F$26,1,0))),INDEX('AZ-Modell'!$C$16:$N$22,IF(WEEKDAY($C9)=1,7,WEEKDAY($C9)-1),MONTH($C9)),IF(TRIM($AF9)="Dienst (Feiertag)",IFERROR(VLOOKUP($C9,Grunddaten!$F$36:$I$59,4,0),0),0))</f>
        <v>0</v>
      </c>
      <c r="AB9" s="291">
        <f>IF(AND($C9&gt;=Grunddaten!$C$30,ISERROR(VLOOKUP($C9,Grunddaten!$F$36:$F$59,1,0)),ISERROR(VLOOKUP(TRIM($AF9),Grunddaten!$F$26:$F$26,1,0))),INDEX('AZ-Modell'!$C$26:$N$32,IF(WEEKDAY($C9)=1,7,WEEKDAY($C9)-1),MONTH($C9)),IF(TRIM($AF9)="Dienst (Feiertag)",IFERROR(VLOOKUP($C9,Grunddaten!$F$36:$I$59,4,0),0),0))</f>
        <v>0</v>
      </c>
      <c r="AC9" s="291">
        <f>IF(AND($C9&gt;=Grunddaten!$C$30,ISERROR(VLOOKUP($C9,Grunddaten!$F$36:$F$59,1,0)),ISERROR(VLOOKUP(TRIM($AF9),Grunddaten!$F$26:$F$26,1,0))),INDEX('AZ-Modell'!$C$36:$N$42,IF(WEEKDAY($C9)=1,7,WEEKDAY($C9)-1),MONTH($C9)),IF(TRIM($AF9)="Dienst (Feiertag)",IFERROR(VLOOKUP($C9,Grunddaten!$F$36:$I$59,4,0),0),0))</f>
        <v>0</v>
      </c>
      <c r="AD9" s="291">
        <f>AA9+AB9+AC9</f>
        <v>0</v>
      </c>
      <c r="AE9" s="290">
        <f>(Z9-AD9)*24+I44</f>
        <v>-639.60000000000014</v>
      </c>
      <c r="AF9" s="292" t="str">
        <f>IFERROR(VLOOKUP($C9,Grunddaten!$F$36:$G$59,2,0),"")</f>
        <v>Maifeiertag</v>
      </c>
      <c r="AG9" s="293"/>
      <c r="AH9" s="286">
        <v>0</v>
      </c>
      <c r="AI9" s="291">
        <f>IF(OR(TRIM($AF9)="Krank",TRIM($AF9)="Urlaub",TRIM($AF9)="Exerzitien",TRIM($AF9)="Wallfahrt",TRIM($AF9)="Arbeitsbefreiung",$Z9=0,$Z9&lt;$AH9),0,ROUND($Z9-$AH9,6))</f>
        <v>0</v>
      </c>
      <c r="AJ9" s="292"/>
      <c r="AK9" s="291">
        <f>IF(OR(TRIM($AF9)="Krank",TRIM($AF9)="Urlaub",TRIM($AF9)="Exerzitien",TRIM($AF9)="Regenerationstag",TRIM($AF9)="Wallfahrt",TRIM($AF9)="Arbeitsbefreiung",TRIM($AF9)="Umwandlungstag"),$AD9,IF(OR(TRIM($AF9)="Azubi - Berufsschule",TRIM($AF9)="Azubi - Schriftliche AP",TRIM($AF9)="Azubi - Mündliche AP",TRIM($AF9)="Azubi - Zwischenprüfung",TRIM($AF9)="Azubi - Prüfungsvorbereitung"),VLOOKUP($AF9,Grunddaten!$F$26:$I$31,4,0),IF(TRIM($AF9)="Namenstag",MAX((4/39)*HLOOKUP($D$6,'AZ-Modell'!$C$7:$N$13,5,0),1/24)+$H9+$M9+$R9+$V9,IF(TRIM($AF9)="Betriebsausflug",MAX(AD9,(7.8/39)*HLOOKUP($D$6,'AZ-Modell'!$C$7:$N$13,5,0),1/24),$H9+$M9+$R9+$V9))))</f>
        <v>0</v>
      </c>
      <c r="AL9" s="291">
        <f t="shared" ref="AL9:AL39" si="2">IF(AND(TRIM($AF9="Namenstag"),$O9=0),0,ROUND(IF(AND($H9&lt;&gt;0,$M9&lt;&gt;0,$R9&lt;&gt;0),$J9-$F9+$O9-$K9,IF(AND($H9&lt;&gt;0,$M9=0,$R9&lt;&gt;0),$O9-$F9,IF(AND($H9=0,$M9&lt;&gt;0,$R9&lt;&gt;0),$O9-$K9,IF(AND($H9&lt;&gt;0,$M9&lt;&gt;0,$R9=0),$J9-$F9,0))))+$G9+$L9+$Q9,5))</f>
        <v>0</v>
      </c>
      <c r="AM9" s="291">
        <f>ROUND(IF(OR(TRIM($AF9)="Krank",TRIM($AF9)="Urlaub",TRIM($AF9)="Exerzitien",TRIM($AF9)="Wallfahrt",TRIM($AF9)="Arbeitsbefreiung",TRIM($AF9)="AZV",TRIM($AF9)="Betriebsausflug",TRIM($AF9)="Namenstag",TRIM($AF9)="Azubi - Berufsschule",TRIM($AF9)="Azubi - Schriftliche AP",TRIM($AF9)="Azubi - Mündliche AP",TRIM($AF9)="Azubi - Zwischenprüfung",TRIM($AF9)="Azubi - Prüfungsvorbereitung"),0,IF((DAYS360(Grunddaten!$C$25,$C9)/360&gt;=18),IF((($H9+$M9+$R9+$T9)*24)&lt;=6,0,IF(AND((($H9+$M9+$R9+$T9)*24)&gt;6,(($H9+$M9+$R9+$T9)*24)&lt;=9),0.5/24,0.75/24)),IF((($H9+$M9+$R9+$T9)*24)&lt;=4.5,0,IF(AND((($H9+$M9+$R9+$T9)*24)&gt;4.5,(($H9+$M9+$R9+$T9)*24)&lt;=6),0.5/24,1/24)))),5)</f>
        <v>0</v>
      </c>
      <c r="AN9" s="332" t="str">
        <f>IF($AL9&gt;=$AM9,"R","T")</f>
        <v>R</v>
      </c>
    </row>
    <row r="10" spans="1:40" s="294" customFormat="1" ht="21" customHeight="1" x14ac:dyDescent="0.35">
      <c r="A10" s="331">
        <f t="shared" ref="A10:A39" si="3">WEEKNUM($C10)</f>
        <v>18</v>
      </c>
      <c r="B10" s="283" t="str">
        <f t="shared" ref="B10:B39" si="4">IF(WEEKDAY($C10,1)=1,"So.",IF(WEEKDAY($C10,1)=2,"Mo.",IF(WEEKDAY($C10,1)=3,"Di.",IF(WEEKDAY($C10,1)=4,"Mi.",IF(WEEKDAY($C10,1)=5,"Do.",IF(WEEKDAY($C10,1)=6,"Fr.","Sa."))))))</f>
        <v>Fr.</v>
      </c>
      <c r="C10" s="295">
        <f>C9+1</f>
        <v>45779</v>
      </c>
      <c r="D10" s="285" t="str">
        <f t="shared" si="0"/>
        <v/>
      </c>
      <c r="E10" s="286"/>
      <c r="F10" s="286"/>
      <c r="G10" s="286"/>
      <c r="H10" s="287">
        <f>IF(OR(TRIM($AF10)="Krank",TRIM($AF10)="Urlaub",TRIM($AF10)="Exerzitien",TRIM($AF10)="Wallfahrt",TRIM($AF10)="Arbeitsbefreiung",TRIM($AF10)="Azubi - Berufsschule",TRIM($AF10)="Azubi - Schriftliche AP",TRIM($AF10)="Azubi - Mündliche AP",TRIM($AF10)="Azubi - Zwischenprüfung",TRIM($AF10)="Azubi - Prüfungsvorbereitung"),$AA10,IF(TRIM($AF10)="Betriebsausflug",IF($Z10=$AD10,$AA10,$AA10+($Z10-$AD10)*HLOOKUP($D$6,'AZ-Modell'!$C$7:$N$44,18,0)),IF(F10&lt;&gt;"",IF(E10&gt;F10,1-(E10-F10)-G10,F10-E10-G10),0)))</f>
        <v>0</v>
      </c>
      <c r="I10" s="285" t="str">
        <f t="shared" ref="I10:I39" si="5">IF(OR(TRIM($AF10)="Krank",TRIM($AF10)="Urlaub",TRIM($AF10)="Exerzitien",TRIM($AF10)="Wallfahrt",TRIM($AF10)="Arbeitsbefreiung",TRIM($AF10)="Betriebsausflug",TRIM($AF10)="Azubi - Berufsschule",TRIM($AF10)="Azubi - Schriftliche AP",TRIM($AF10)="Azubi - Mündliche AP",TRIM($AF10)="Azubi - Zwischenprüfung",TRIM($AF10)="Azubi - Prüfungsvorbereitung"),2,"")</f>
        <v/>
      </c>
      <c r="J10" s="286"/>
      <c r="K10" s="286"/>
      <c r="L10" s="286"/>
      <c r="M10" s="287">
        <f>IF(OR(TRIM($AF10)="Krank",TRIM($AF10)="Urlaub",TRIM($AF10)="Exerzitien",TRIM($AF10)="Wallfahrt",TRIM($AF10)="Arbeitsbefreiung",TRIM($AF10)="Azubi - Berufsschule",TRIM($AF10)="Azubi - Schriftliche AP",TRIM($AF10)="Azubi - Mündliche AP",TRIM($AF10)="Azubi - Zwischenprüfung",TRIM($AF10)="Azubi - Prüfungsvorbereitung"),$AB10,IF(TRIM($AF10)="Betriebsausflug",IF($Z10=$AD10,$AB10,$AB10+($Z10-$AD10)*HLOOKUP($D$6,'AZ-Modell'!$C$7:$N$44,28,0)),IF(TRIM($AF10)="Namenstag",MAX((4/39)*HLOOKUP($D$6,'AZ-Modell'!$C$7:$N$13,5,0),1/24)+IF(K10&lt;&gt;"",IF(J10&gt;K10,1-(J10-K10)-L10,K10-J10-L10),0),IF(K10&lt;&gt;"",IF(J10&gt;K10,1-(J10-K10)-L10,K10-J10-L10),0))))</f>
        <v>0</v>
      </c>
      <c r="N10" s="285" t="str">
        <f t="shared" ref="N10:N39" si="6">IF(OR(TRIM($AF10)="Krank",TRIM($AF10)="Urlaub",TRIM($AF10)="Exerzitien",TRIM($AF10)="Wallfahrt",TRIM($AF10)="Arbeitsbefreiung",TRIM($AF10)="Betriebsausflug",TRIM($AF10)="Azubi - Berufsschule",TRIM($AF10)="Azubi - Schriftliche AP",TRIM($AF10)="Azubi - Mündliche AP",TRIM($AF10)="Azubi - Zwischenprüfung",TRIM($AF10)="Azubi - Prüfungsvorbereitung"),3,"")</f>
        <v/>
      </c>
      <c r="O10" s="286"/>
      <c r="P10" s="286"/>
      <c r="Q10" s="286"/>
      <c r="R10" s="287">
        <f>IF(OR(TRIM($AF10)="Krank",TRIM($AF10)="Urlaub",TRIM($AF10)="Exerzitien",TRIM($AF10)="Wallfahrt",TRIM($AF10)="Arbeitsbefreiung",TRIM($AF10)="Azubi - Berufsschule",TRIM($AF10)="Azubi - Schriftliche AP",TRIM($AF10)="Azubi - Mündliche AP",TRIM($AF10)="Azubi - Zwischenprüfung",TRIM($AF10)="Azubi - Prüfungsvorbereitung"),$AC10,IF(TRIM($AF10)="Betriebsausflug",IF($Z10=$AD10,$AC10,$AC10+($Z10-$AD10)*HLOOKUP($D$6,'AZ-Modell'!$C$7:$N$44,38,0)),IF(P10&lt;&gt;"",IF(O10&gt;P10,1-(O10-P10)-Q10,P10-O10-Q10),0)))</f>
        <v>0</v>
      </c>
      <c r="S10" s="285"/>
      <c r="T10" s="286"/>
      <c r="U10" s="286"/>
      <c r="V10" s="288">
        <f>ROUNDUP(($T10)*IF($U10&lt;&gt;0,$U10,IF(COUNT($T$9:$T10)&lt;8,20%,25%))*24/5,2)*5/24</f>
        <v>0</v>
      </c>
      <c r="W10" s="285"/>
      <c r="X10" s="289">
        <v>0</v>
      </c>
      <c r="Y10" s="290">
        <f t="shared" si="1"/>
        <v>0</v>
      </c>
      <c r="Z10" s="291">
        <f>IF(OR(TRIM($AF10)="Krank",TRIM($AF10)="Urlaub",TRIM($AF10)="Exerzitien",TRIM($AF10)="Wallfahrt",TRIM($AF10)="Arbeitsbefreiung"),$AD10,IF(OR(TRIM($AF10)="Azubi - Berufsschule",TRIM($AF10)="Azubi - Schriftliche AP",TRIM($AF10)="Azubi - Mündliche AP",TRIM($AF10)="Azubi - Zwischenprüfung",TRIM($AF10)="Azubi - Prüfungsvorbereitung"),VLOOKUP($AF10,Grunddaten!$F$26:$I$31,4,0),IF(TRIM($AF10)="Betriebsausflug",MAX(AD10,(7.8/39)*HLOOKUP($D$6,'AZ-Modell'!$C$7:$N$13,5,0),1/24),IF(AND(OR(TRIM($AF10)="Fortbildung",TRIM($AF10)="Dienstreise"),(+$H10+$M10+$R10+$V10)&lt;$AD10),$AD10,IF(AND(OR(TRIM($AF10)="Fortbildung",TRIM($AF10)="Dienstreise"),$X10&gt;0,(+$H10+$M10+$R10+$V10)&gt;10/24),10/24,$H10+$M10+$R10+$V10)))))</f>
        <v>0</v>
      </c>
      <c r="AA10" s="291">
        <f>IF(AND($C10&gt;=Grunddaten!$C$30,ISERROR(VLOOKUP($C10,Grunddaten!$F$36:$F$59,1,0)),ISERROR(VLOOKUP(TRIM($AF10),Grunddaten!$F$26:$F$26,1,0))),INDEX('AZ-Modell'!$C$16:$N$22,IF(WEEKDAY($C10)=1,7,WEEKDAY($C10)-1),MONTH($C10)),IF(TRIM($AF10)="Dienst (Feiertag)",IFERROR(VLOOKUP($C10,Grunddaten!$F$36:$I$59,4,0),0),0))</f>
        <v>0.32500000000000001</v>
      </c>
      <c r="AB10" s="291">
        <f>IF(AND($C10&gt;=Grunddaten!$C$30,ISERROR(VLOOKUP($C10,Grunddaten!$F$36:$F$59,1,0)),ISERROR(VLOOKUP(TRIM($AF10),Grunddaten!$F$26:$F$26,1,0))),INDEX('AZ-Modell'!$C$26:$N$32,IF(WEEKDAY($C10)=1,7,WEEKDAY($C10)-1),MONTH($C10)),IF(TRIM($AF10)="Dienst (Feiertag)",IFERROR(VLOOKUP($C10,Grunddaten!$F$36:$I$59,4,0),0),0))</f>
        <v>0</v>
      </c>
      <c r="AC10" s="291">
        <f>IF(AND($C10&gt;=Grunddaten!$C$30,ISERROR(VLOOKUP($C10,Grunddaten!$F$36:$F$59,1,0)),ISERROR(VLOOKUP(TRIM($AF10),Grunddaten!$F$26:$F$26,1,0))),INDEX('AZ-Modell'!$C$36:$N$42,IF(WEEKDAY($C10)=1,7,WEEKDAY($C10)-1),MONTH($C10)),IF(TRIM($AF10)="Dienst (Feiertag)",IFERROR(VLOOKUP($C10,Grunddaten!$F$36:$I$59,4,0),0),0))</f>
        <v>0</v>
      </c>
      <c r="AD10" s="291">
        <f t="shared" ref="AD10:AD39" si="7">AA10+AB10+AC10</f>
        <v>0.32500000000000001</v>
      </c>
      <c r="AE10" s="290">
        <f>(Z10-AD10)*24+AE9</f>
        <v>-647.40000000000009</v>
      </c>
      <c r="AF10" s="292" t="str">
        <f>IFERROR(VLOOKUP($C10,Grunddaten!$F$36:$G$59,2,0),"")</f>
        <v/>
      </c>
      <c r="AG10" s="293"/>
      <c r="AH10" s="286">
        <v>0</v>
      </c>
      <c r="AI10" s="291">
        <f t="shared" ref="AI10:AI39" si="8">IF(OR(TRIM($AF10)="Krank",TRIM($AF10)="Urlaub",TRIM($AF10)="Exerzitien",TRIM($AF10)="Wallfahrt",TRIM($AF10)="Arbeitsbefreiung",$Z10=0,$Z10&lt;$AH10),0,ROUND($Z10-$AH10,6))</f>
        <v>0</v>
      </c>
      <c r="AJ10" s="292"/>
      <c r="AK10" s="291">
        <f>IF(OR(TRIM($AF10)="Krank",TRIM($AF10)="Urlaub",TRIM($AF10)="Exerzitien",TRIM($AF10)="Regenerationstag",TRIM($AF10)="Wallfahrt",TRIM($AF10)="Arbeitsbefreiung",TRIM($AF10)="Umwandlungstag"),$AD10,IF(OR(TRIM($AF10)="Azubi - Berufsschule",TRIM($AF10)="Azubi - Schriftliche AP",TRIM($AF10)="Azubi - Mündliche AP",TRIM($AF10)="Azubi - Zwischenprüfung",TRIM($AF10)="Azubi - Prüfungsvorbereitung"),VLOOKUP($AF10,Grunddaten!$F$26:$I$31,4,0),IF(TRIM($AF10)="Namenstag",MAX((4/39)*HLOOKUP($D$6,'AZ-Modell'!$C$7:$N$13,5,0),1/24)+$H10+$M10+$R10+$V10,IF(TRIM($AF10)="Betriebsausflug",MAX(AD10,(7.8/39)*HLOOKUP($D$6,'AZ-Modell'!$C$7:$N$13,5,0),1/24),$H10+$M10+$R10+$V10))))</f>
        <v>0</v>
      </c>
      <c r="AL10" s="291">
        <f t="shared" si="2"/>
        <v>0</v>
      </c>
      <c r="AM10" s="291">
        <f>ROUND(IF(OR(TRIM($AF10)="Krank",TRIM($AF10)="Urlaub",TRIM($AF10)="Exerzitien",TRIM($AF10)="Wallfahrt",TRIM($AF10)="Arbeitsbefreiung",TRIM($AF10)="AZV",TRIM($AF10)="Betriebsausflug",TRIM($AF10)="Namenstag",TRIM($AF10)="Azubi - Berufsschule",TRIM($AF10)="Azubi - Schriftliche AP",TRIM($AF10)="Azubi - Mündliche AP",TRIM($AF10)="Azubi - Zwischenprüfung",TRIM($AF10)="Azubi - Prüfungsvorbereitung"),0,IF((DAYS360(Grunddaten!$C$25,$C10)/360&gt;=18),IF((($H10+$M10+$R10+$T10)*24)&lt;=6,0,IF(AND((($H10+$M10+$R10+$T10)*24)&gt;6,(($H10+$M10+$R10+$T10)*24)&lt;=9),0.5/24,0.75/24)),IF((($H10+$M10+$R10+$T10)*24)&lt;=4.5,0,IF(AND((($H10+$M10+$R10+$T10)*24)&gt;4.5,(($H10+$M10+$R10+$T10)*24)&lt;=6),0.5/24,1/24)))),5)</f>
        <v>0</v>
      </c>
      <c r="AN10" s="332" t="str">
        <f t="shared" ref="AN10:AN39" si="9">IF($AL10&gt;=$AM10,"R","T")</f>
        <v>R</v>
      </c>
    </row>
    <row r="11" spans="1:40" s="294" customFormat="1" ht="21" customHeight="1" x14ac:dyDescent="0.35">
      <c r="A11" s="331">
        <f t="shared" si="3"/>
        <v>18</v>
      </c>
      <c r="B11" s="283" t="str">
        <f t="shared" si="4"/>
        <v>Sa.</v>
      </c>
      <c r="C11" s="295">
        <f t="shared" ref="C11:C39" si="10">C10+1</f>
        <v>45780</v>
      </c>
      <c r="D11" s="285" t="str">
        <f t="shared" si="0"/>
        <v/>
      </c>
      <c r="E11" s="286"/>
      <c r="F11" s="286"/>
      <c r="G11" s="286"/>
      <c r="H11" s="287">
        <f>IF(OR(TRIM($AF11)="Krank",TRIM($AF11)="Urlaub",TRIM($AF11)="Exerzitien",TRIM($AF11)="Wallfahrt",TRIM($AF11)="Arbeitsbefreiung",TRIM($AF11)="Azubi - Berufsschule",TRIM($AF11)="Azubi - Schriftliche AP",TRIM($AF11)="Azubi - Mündliche AP",TRIM($AF11)="Azubi - Zwischenprüfung",TRIM($AF11)="Azubi - Prüfungsvorbereitung"),$AA11,IF(TRIM($AF11)="Betriebsausflug",IF($Z11=$AD11,$AA11,$AA11+($Z11-$AD11)*HLOOKUP($D$6,'AZ-Modell'!$C$7:$N$44,18,0)),IF(F11&lt;&gt;"",IF(E11&gt;F11,1-(E11-F11)-G11,F11-E11-G11),0)))</f>
        <v>0</v>
      </c>
      <c r="I11" s="285" t="str">
        <f t="shared" si="5"/>
        <v/>
      </c>
      <c r="J11" s="286"/>
      <c r="K11" s="286"/>
      <c r="L11" s="286"/>
      <c r="M11" s="287">
        <f>IF(OR(TRIM($AF11)="Krank",TRIM($AF11)="Urlaub",TRIM($AF11)="Exerzitien",TRIM($AF11)="Wallfahrt",TRIM($AF11)="Arbeitsbefreiung",TRIM($AF11)="Azubi - Berufsschule",TRIM($AF11)="Azubi - Schriftliche AP",TRIM($AF11)="Azubi - Mündliche AP",TRIM($AF11)="Azubi - Zwischenprüfung",TRIM($AF11)="Azubi - Prüfungsvorbereitung"),$AB11,IF(TRIM($AF11)="Betriebsausflug",IF($Z11=$AD11,$AB11,$AB11+($Z11-$AD11)*HLOOKUP($D$6,'AZ-Modell'!$C$7:$N$44,28,0)),IF(TRIM($AF11)="Namenstag",MAX((4/39)*HLOOKUP($D$6,'AZ-Modell'!$C$7:$N$13,5,0),1/24)+IF(K11&lt;&gt;"",IF(J11&gt;K11,1-(J11-K11)-L11,K11-J11-L11),0),IF(K11&lt;&gt;"",IF(J11&gt;K11,1-(J11-K11)-L11,K11-J11-L11),0))))</f>
        <v>0</v>
      </c>
      <c r="N11" s="285" t="str">
        <f t="shared" si="6"/>
        <v/>
      </c>
      <c r="O11" s="286"/>
      <c r="P11" s="286"/>
      <c r="Q11" s="286"/>
      <c r="R11" s="287">
        <f>IF(OR(TRIM($AF11)="Krank",TRIM($AF11)="Urlaub",TRIM($AF11)="Exerzitien",TRIM($AF11)="Wallfahrt",TRIM($AF11)="Arbeitsbefreiung",TRIM($AF11)="Azubi - Berufsschule",TRIM($AF11)="Azubi - Schriftliche AP",TRIM($AF11)="Azubi - Mündliche AP",TRIM($AF11)="Azubi - Zwischenprüfung",TRIM($AF11)="Azubi - Prüfungsvorbereitung"),$AC11,IF(TRIM($AF11)="Betriebsausflug",IF($Z11=$AD11,$AC11,$AC11+($Z11-$AD11)*HLOOKUP($D$6,'AZ-Modell'!$C$7:$N$44,38,0)),IF(P11&lt;&gt;"",IF(O11&gt;P11,1-(O11-P11)-Q11,P11-O11-Q11),0)))</f>
        <v>0</v>
      </c>
      <c r="S11" s="285"/>
      <c r="T11" s="286"/>
      <c r="U11" s="286"/>
      <c r="V11" s="288">
        <f>ROUNDUP(($T11)*IF($U11&lt;&gt;0,$U11,IF(COUNT($T$9:$T11)&lt;8,20%,25%))*24/5,2)*5/24</f>
        <v>0</v>
      </c>
      <c r="W11" s="285"/>
      <c r="X11" s="289">
        <v>0</v>
      </c>
      <c r="Y11" s="290">
        <f t="shared" si="1"/>
        <v>0</v>
      </c>
      <c r="Z11" s="291">
        <f>IF(OR(TRIM($AF11)="Krank",TRIM($AF11)="Urlaub",TRIM($AF11)="Exerzitien",TRIM($AF11)="Wallfahrt",TRIM($AF11)="Arbeitsbefreiung"),$AD11,IF(OR(TRIM($AF11)="Azubi - Berufsschule",TRIM($AF11)="Azubi - Schriftliche AP",TRIM($AF11)="Azubi - Mündliche AP",TRIM($AF11)="Azubi - Zwischenprüfung",TRIM($AF11)="Azubi - Prüfungsvorbereitung"),VLOOKUP($AF11,Grunddaten!$F$26:$I$31,4,0),IF(TRIM($AF11)="Betriebsausflug",MAX(AD11,(7.8/39)*HLOOKUP($D$6,'AZ-Modell'!$C$7:$N$13,5,0),1/24),IF(AND(OR(TRIM($AF11)="Fortbildung",TRIM($AF11)="Dienstreise"),(+$H11+$M11+$R11+$V11)&lt;$AD11),$AD11,IF(AND(OR(TRIM($AF11)="Fortbildung",TRIM($AF11)="Dienstreise"),$X11&gt;0,(+$H11+$M11+$R11+$V11)&gt;10/24),10/24,$H11+$M11+$R11+$V11)))))</f>
        <v>0</v>
      </c>
      <c r="AA11" s="291">
        <f>IF(AND($C11&gt;=Grunddaten!$C$30,ISERROR(VLOOKUP($C11,Grunddaten!$F$36:$F$59,1,0)),ISERROR(VLOOKUP(TRIM($AF11),Grunddaten!$F$26:$F$26,1,0))),INDEX('AZ-Modell'!$C$16:$N$22,IF(WEEKDAY($C11)=1,7,WEEKDAY($C11)-1),MONTH($C11)),IF(TRIM($AF11)="Dienst (Feiertag)",IFERROR(VLOOKUP($C11,Grunddaten!$F$36:$I$59,4,0),0),0))</f>
        <v>0</v>
      </c>
      <c r="AB11" s="291">
        <f>IF(AND($C11&gt;=Grunddaten!$C$30,ISERROR(VLOOKUP($C11,Grunddaten!$F$36:$F$59,1,0)),ISERROR(VLOOKUP(TRIM($AF11),Grunddaten!$F$26:$F$26,1,0))),INDEX('AZ-Modell'!$C$26:$N$32,IF(WEEKDAY($C11)=1,7,WEEKDAY($C11)-1),MONTH($C11)),IF(TRIM($AF11)="Dienst (Feiertag)",IFERROR(VLOOKUP($C11,Grunddaten!$F$36:$I$59,4,0),0),0))</f>
        <v>0</v>
      </c>
      <c r="AC11" s="291">
        <f>IF(AND($C11&gt;=Grunddaten!$C$30,ISERROR(VLOOKUP($C11,Grunddaten!$F$36:$F$59,1,0)),ISERROR(VLOOKUP(TRIM($AF11),Grunddaten!$F$26:$F$26,1,0))),INDEX('AZ-Modell'!$C$36:$N$42,IF(WEEKDAY($C11)=1,7,WEEKDAY($C11)-1),MONTH($C11)),IF(TRIM($AF11)="Dienst (Feiertag)",IFERROR(VLOOKUP($C11,Grunddaten!$F$36:$I$59,4,0),0),0))</f>
        <v>0</v>
      </c>
      <c r="AD11" s="291">
        <f t="shared" si="7"/>
        <v>0</v>
      </c>
      <c r="AE11" s="290">
        <f t="shared" ref="AE11:AE39" si="11">(Z11-AD11)*24+AE10</f>
        <v>-647.40000000000009</v>
      </c>
      <c r="AF11" s="292" t="str">
        <f>IFERROR(VLOOKUP($C11,Grunddaten!$F$36:$G$59,2,0),"")</f>
        <v/>
      </c>
      <c r="AG11" s="293"/>
      <c r="AH11" s="286">
        <v>0</v>
      </c>
      <c r="AI11" s="291">
        <f t="shared" si="8"/>
        <v>0</v>
      </c>
      <c r="AJ11" s="292"/>
      <c r="AK11" s="291">
        <f>IF(OR(TRIM($AF11)="Krank",TRIM($AF11)="Urlaub",TRIM($AF11)="Exerzitien",TRIM($AF11)="Regenerationstag",TRIM($AF11)="Wallfahrt",TRIM($AF11)="Arbeitsbefreiung",TRIM($AF11)="Umwandlungstag"),$AD11,IF(OR(TRIM($AF11)="Azubi - Berufsschule",TRIM($AF11)="Azubi - Schriftliche AP",TRIM($AF11)="Azubi - Mündliche AP",TRIM($AF11)="Azubi - Zwischenprüfung",TRIM($AF11)="Azubi - Prüfungsvorbereitung"),VLOOKUP($AF11,Grunddaten!$F$26:$I$31,4,0),IF(TRIM($AF11)="Namenstag",MAX((4/39)*HLOOKUP($D$6,'AZ-Modell'!$C$7:$N$13,5,0),1/24)+$H11+$M11+$R11+$V11,IF(TRIM($AF11)="Betriebsausflug",MAX(AD11,(7.8/39)*HLOOKUP($D$6,'AZ-Modell'!$C$7:$N$13,5,0),1/24),$H11+$M11+$R11+$V11))))</f>
        <v>0</v>
      </c>
      <c r="AL11" s="291">
        <f t="shared" si="2"/>
        <v>0</v>
      </c>
      <c r="AM11" s="291">
        <f>ROUND(IF(OR(TRIM($AF11)="Krank",TRIM($AF11)="Urlaub",TRIM($AF11)="Exerzitien",TRIM($AF11)="Wallfahrt",TRIM($AF11)="Arbeitsbefreiung",TRIM($AF11)="AZV",TRIM($AF11)="Betriebsausflug",TRIM($AF11)="Namenstag",TRIM($AF11)="Azubi - Berufsschule",TRIM($AF11)="Azubi - Schriftliche AP",TRIM($AF11)="Azubi - Mündliche AP",TRIM($AF11)="Azubi - Zwischenprüfung",TRIM($AF11)="Azubi - Prüfungsvorbereitung"),0,IF((DAYS360(Grunddaten!$C$25,$C11)/360&gt;=18),IF((($H11+$M11+$R11+$T11)*24)&lt;=6,0,IF(AND((($H11+$M11+$R11+$T11)*24)&gt;6,(($H11+$M11+$R11+$T11)*24)&lt;=9),0.5/24,0.75/24)),IF((($H11+$M11+$R11+$T11)*24)&lt;=4.5,0,IF(AND((($H11+$M11+$R11+$T11)*24)&gt;4.5,(($H11+$M11+$R11+$T11)*24)&lt;=6),0.5/24,1/24)))),5)</f>
        <v>0</v>
      </c>
      <c r="AN11" s="332" t="str">
        <f t="shared" si="9"/>
        <v>R</v>
      </c>
    </row>
    <row r="12" spans="1:40" s="294" customFormat="1" ht="21" customHeight="1" x14ac:dyDescent="0.35">
      <c r="A12" s="331">
        <f t="shared" si="3"/>
        <v>19</v>
      </c>
      <c r="B12" s="283" t="str">
        <f t="shared" si="4"/>
        <v>So.</v>
      </c>
      <c r="C12" s="295">
        <f t="shared" si="10"/>
        <v>45781</v>
      </c>
      <c r="D12" s="285" t="str">
        <f t="shared" si="0"/>
        <v/>
      </c>
      <c r="E12" s="286"/>
      <c r="F12" s="286"/>
      <c r="G12" s="286"/>
      <c r="H12" s="287">
        <f>IF(OR(TRIM($AF12)="Krank",TRIM($AF12)="Urlaub",TRIM($AF12)="Exerzitien",TRIM($AF12)="Wallfahrt",TRIM($AF12)="Arbeitsbefreiung",TRIM($AF12)="Azubi - Berufsschule",TRIM($AF12)="Azubi - Schriftliche AP",TRIM($AF12)="Azubi - Mündliche AP",TRIM($AF12)="Azubi - Zwischenprüfung",TRIM($AF12)="Azubi - Prüfungsvorbereitung"),$AA12,IF(TRIM($AF12)="Betriebsausflug",IF($Z12=$AD12,$AA12,$AA12+($Z12-$AD12)*HLOOKUP($D$6,'AZ-Modell'!$C$7:$N$44,18,0)),IF(F12&lt;&gt;"",IF(E12&gt;F12,1-(E12-F12)-G12,F12-E12-G12),0)))</f>
        <v>0</v>
      </c>
      <c r="I12" s="285" t="str">
        <f t="shared" si="5"/>
        <v/>
      </c>
      <c r="J12" s="286"/>
      <c r="K12" s="286"/>
      <c r="L12" s="286"/>
      <c r="M12" s="287">
        <f>IF(OR(TRIM($AF12)="Krank",TRIM($AF12)="Urlaub",TRIM($AF12)="Exerzitien",TRIM($AF12)="Wallfahrt",TRIM($AF12)="Arbeitsbefreiung",TRIM($AF12)="Azubi - Berufsschule",TRIM($AF12)="Azubi - Schriftliche AP",TRIM($AF12)="Azubi - Mündliche AP",TRIM($AF12)="Azubi - Zwischenprüfung",TRIM($AF12)="Azubi - Prüfungsvorbereitung"),$AB12,IF(TRIM($AF12)="Betriebsausflug",IF($Z12=$AD12,$AB12,$AB12+($Z12-$AD12)*HLOOKUP($D$6,'AZ-Modell'!$C$7:$N$44,28,0)),IF(TRIM($AF12)="Namenstag",MAX((4/39)*HLOOKUP($D$6,'AZ-Modell'!$C$7:$N$13,5,0),1/24)+IF(K12&lt;&gt;"",IF(J12&gt;K12,1-(J12-K12)-L12,K12-J12-L12),0),IF(K12&lt;&gt;"",IF(J12&gt;K12,1-(J12-K12)-L12,K12-J12-L12),0))))</f>
        <v>0</v>
      </c>
      <c r="N12" s="285" t="str">
        <f t="shared" si="6"/>
        <v/>
      </c>
      <c r="O12" s="286"/>
      <c r="P12" s="286"/>
      <c r="Q12" s="286"/>
      <c r="R12" s="287">
        <f>IF(OR(TRIM($AF12)="Krank",TRIM($AF12)="Urlaub",TRIM($AF12)="Exerzitien",TRIM($AF12)="Wallfahrt",TRIM($AF12)="Arbeitsbefreiung",TRIM($AF12)="Azubi - Berufsschule",TRIM($AF12)="Azubi - Schriftliche AP",TRIM($AF12)="Azubi - Mündliche AP",TRIM($AF12)="Azubi - Zwischenprüfung",TRIM($AF12)="Azubi - Prüfungsvorbereitung"),$AC12,IF(TRIM($AF12)="Betriebsausflug",IF($Z12=$AD12,$AC12,$AC12+($Z12-$AD12)*HLOOKUP($D$6,'AZ-Modell'!$C$7:$N$44,38,0)),IF(P12&lt;&gt;"",IF(O12&gt;P12,1-(O12-P12)-Q12,P12-O12-Q12),0)))</f>
        <v>0</v>
      </c>
      <c r="S12" s="285"/>
      <c r="T12" s="286"/>
      <c r="U12" s="286"/>
      <c r="V12" s="288">
        <f>ROUNDUP(($T12)*IF($U12&lt;&gt;0,$U12,IF(COUNT($T$9:$T12)&lt;8,20%,25%))*24/5,2)*5/24</f>
        <v>0</v>
      </c>
      <c r="W12" s="285"/>
      <c r="X12" s="289">
        <v>0</v>
      </c>
      <c r="Y12" s="290">
        <f t="shared" si="1"/>
        <v>0</v>
      </c>
      <c r="Z12" s="291">
        <f>IF(OR(TRIM($AF12)="Krank",TRIM($AF12)="Urlaub",TRIM($AF12)="Exerzitien",TRIM($AF12)="Wallfahrt",TRIM($AF12)="Arbeitsbefreiung"),$AD12,IF(OR(TRIM($AF12)="Azubi - Berufsschule",TRIM($AF12)="Azubi - Schriftliche AP",TRIM($AF12)="Azubi - Mündliche AP",TRIM($AF12)="Azubi - Zwischenprüfung",TRIM($AF12)="Azubi - Prüfungsvorbereitung"),VLOOKUP($AF12,Grunddaten!$F$26:$I$31,4,0),IF(TRIM($AF12)="Betriebsausflug",MAX(AD12,(7.8/39)*HLOOKUP($D$6,'AZ-Modell'!$C$7:$N$13,5,0),1/24),IF(AND(OR(TRIM($AF12)="Fortbildung",TRIM($AF12)="Dienstreise"),(+$H12+$M12+$R12+$V12)&lt;$AD12),$AD12,IF(AND(OR(TRIM($AF12)="Fortbildung",TRIM($AF12)="Dienstreise"),$X12&gt;0,(+$H12+$M12+$R12+$V12)&gt;10/24),10/24,$H12+$M12+$R12+$V12)))))</f>
        <v>0</v>
      </c>
      <c r="AA12" s="291">
        <f>IF(AND($C12&gt;=Grunddaten!$C$30,ISERROR(VLOOKUP($C12,Grunddaten!$F$36:$F$59,1,0)),ISERROR(VLOOKUP(TRIM($AF12),Grunddaten!$F$26:$F$26,1,0))),INDEX('AZ-Modell'!$C$16:$N$22,IF(WEEKDAY($C12)=1,7,WEEKDAY($C12)-1),MONTH($C12)),IF(TRIM($AF12)="Dienst (Feiertag)",IFERROR(VLOOKUP($C12,Grunddaten!$F$36:$I$59,4,0),0),0))</f>
        <v>0</v>
      </c>
      <c r="AB12" s="291">
        <f>IF(AND($C12&gt;=Grunddaten!$C$30,ISERROR(VLOOKUP($C12,Grunddaten!$F$36:$F$59,1,0)),ISERROR(VLOOKUP(TRIM($AF12),Grunddaten!$F$26:$F$26,1,0))),INDEX('AZ-Modell'!$C$26:$N$32,IF(WEEKDAY($C12)=1,7,WEEKDAY($C12)-1),MONTH($C12)),IF(TRIM($AF12)="Dienst (Feiertag)",IFERROR(VLOOKUP($C12,Grunddaten!$F$36:$I$59,4,0),0),0))</f>
        <v>0</v>
      </c>
      <c r="AC12" s="291">
        <f>IF(AND($C12&gt;=Grunddaten!$C$30,ISERROR(VLOOKUP($C12,Grunddaten!$F$36:$F$59,1,0)),ISERROR(VLOOKUP(TRIM($AF12),Grunddaten!$F$26:$F$26,1,0))),INDEX('AZ-Modell'!$C$36:$N$42,IF(WEEKDAY($C12)=1,7,WEEKDAY($C12)-1),MONTH($C12)),IF(TRIM($AF12)="Dienst (Feiertag)",IFERROR(VLOOKUP($C12,Grunddaten!$F$36:$I$59,4,0),0),0))</f>
        <v>0</v>
      </c>
      <c r="AD12" s="291">
        <f t="shared" si="7"/>
        <v>0</v>
      </c>
      <c r="AE12" s="290">
        <f t="shared" si="11"/>
        <v>-647.40000000000009</v>
      </c>
      <c r="AF12" s="292" t="str">
        <f>IFERROR(VLOOKUP($C12,Grunddaten!$F$36:$G$59,2,0),"")</f>
        <v/>
      </c>
      <c r="AG12" s="293"/>
      <c r="AH12" s="286">
        <v>0</v>
      </c>
      <c r="AI12" s="291">
        <f t="shared" si="8"/>
        <v>0</v>
      </c>
      <c r="AJ12" s="292"/>
      <c r="AK12" s="291">
        <f>IF(OR(TRIM($AF12)="Krank",TRIM($AF12)="Urlaub",TRIM($AF12)="Exerzitien",TRIM($AF12)="Regenerationstag",TRIM($AF12)="Wallfahrt",TRIM($AF12)="Arbeitsbefreiung",TRIM($AF12)="Umwandlungstag"),$AD12,IF(OR(TRIM($AF12)="Azubi - Berufsschule",TRIM($AF12)="Azubi - Schriftliche AP",TRIM($AF12)="Azubi - Mündliche AP",TRIM($AF12)="Azubi - Zwischenprüfung",TRIM($AF12)="Azubi - Prüfungsvorbereitung"),VLOOKUP($AF12,Grunddaten!$F$26:$I$31,4,0),IF(TRIM($AF12)="Namenstag",MAX((4/39)*HLOOKUP($D$6,'AZ-Modell'!$C$7:$N$13,5,0),1/24)+$H12+$M12+$R12+$V12,IF(TRIM($AF12)="Betriebsausflug",MAX(AD12,(7.8/39)*HLOOKUP($D$6,'AZ-Modell'!$C$7:$N$13,5,0),1/24),$H12+$M12+$R12+$V12))))</f>
        <v>0</v>
      </c>
      <c r="AL12" s="291">
        <f t="shared" si="2"/>
        <v>0</v>
      </c>
      <c r="AM12" s="291">
        <f>ROUND(IF(OR(TRIM($AF12)="Krank",TRIM($AF12)="Urlaub",TRIM($AF12)="Exerzitien",TRIM($AF12)="Wallfahrt",TRIM($AF12)="Arbeitsbefreiung",TRIM($AF12)="AZV",TRIM($AF12)="Betriebsausflug",TRIM($AF12)="Namenstag",TRIM($AF12)="Azubi - Berufsschule",TRIM($AF12)="Azubi - Schriftliche AP",TRIM($AF12)="Azubi - Mündliche AP",TRIM($AF12)="Azubi - Zwischenprüfung",TRIM($AF12)="Azubi - Prüfungsvorbereitung"),0,IF((DAYS360(Grunddaten!$C$25,$C12)/360&gt;=18),IF((($H12+$M12+$R12+$T12)*24)&lt;=6,0,IF(AND((($H12+$M12+$R12+$T12)*24)&gt;6,(($H12+$M12+$R12+$T12)*24)&lt;=9),0.5/24,0.75/24)),IF((($H12+$M12+$R12+$T12)*24)&lt;=4.5,0,IF(AND((($H12+$M12+$R12+$T12)*24)&gt;4.5,(($H12+$M12+$R12+$T12)*24)&lt;=6),0.5/24,1/24)))),5)</f>
        <v>0</v>
      </c>
      <c r="AN12" s="332" t="str">
        <f t="shared" si="9"/>
        <v>R</v>
      </c>
    </row>
    <row r="13" spans="1:40" s="294" customFormat="1" ht="21" customHeight="1" x14ac:dyDescent="0.35">
      <c r="A13" s="331">
        <f t="shared" si="3"/>
        <v>19</v>
      </c>
      <c r="B13" s="283" t="str">
        <f t="shared" si="4"/>
        <v>Mo.</v>
      </c>
      <c r="C13" s="295">
        <f t="shared" si="10"/>
        <v>45782</v>
      </c>
      <c r="D13" s="285" t="str">
        <f t="shared" si="0"/>
        <v/>
      </c>
      <c r="E13" s="286"/>
      <c r="F13" s="286"/>
      <c r="G13" s="286"/>
      <c r="H13" s="287">
        <f>IF(OR(TRIM($AF13)="Krank",TRIM($AF13)="Urlaub",TRIM($AF13)="Exerzitien",TRIM($AF13)="Wallfahrt",TRIM($AF13)="Arbeitsbefreiung",TRIM($AF13)="Azubi - Berufsschule",TRIM($AF13)="Azubi - Schriftliche AP",TRIM($AF13)="Azubi - Mündliche AP",TRIM($AF13)="Azubi - Zwischenprüfung",TRIM($AF13)="Azubi - Prüfungsvorbereitung"),$AA13,IF(TRIM($AF13)="Betriebsausflug",IF($Z13=$AD13,$AA13,$AA13+($Z13-$AD13)*HLOOKUP($D$6,'AZ-Modell'!$C$7:$N$44,18,0)),IF(F13&lt;&gt;"",IF(E13&gt;F13,1-(E13-F13)-G13,F13-E13-G13),0)))</f>
        <v>0</v>
      </c>
      <c r="I13" s="285" t="str">
        <f t="shared" si="5"/>
        <v/>
      </c>
      <c r="J13" s="286"/>
      <c r="K13" s="286"/>
      <c r="L13" s="286"/>
      <c r="M13" s="287">
        <f>IF(OR(TRIM($AF13)="Krank",TRIM($AF13)="Urlaub",TRIM($AF13)="Exerzitien",TRIM($AF13)="Wallfahrt",TRIM($AF13)="Arbeitsbefreiung",TRIM($AF13)="Azubi - Berufsschule",TRIM($AF13)="Azubi - Schriftliche AP",TRIM($AF13)="Azubi - Mündliche AP",TRIM($AF13)="Azubi - Zwischenprüfung",TRIM($AF13)="Azubi - Prüfungsvorbereitung"),$AB13,IF(TRIM($AF13)="Betriebsausflug",IF($Z13=$AD13,$AB13,$AB13+($Z13-$AD13)*HLOOKUP($D$6,'AZ-Modell'!$C$7:$N$44,28,0)),IF(TRIM($AF13)="Namenstag",MAX((4/39)*HLOOKUP($D$6,'AZ-Modell'!$C$7:$N$13,5,0),1/24)+IF(K13&lt;&gt;"",IF(J13&gt;K13,1-(J13-K13)-L13,K13-J13-L13),0),IF(K13&lt;&gt;"",IF(J13&gt;K13,1-(J13-K13)-L13,K13-J13-L13),0))))</f>
        <v>0</v>
      </c>
      <c r="N13" s="285" t="str">
        <f t="shared" si="6"/>
        <v/>
      </c>
      <c r="O13" s="286"/>
      <c r="P13" s="286"/>
      <c r="Q13" s="286"/>
      <c r="R13" s="287">
        <f>IF(OR(TRIM($AF13)="Krank",TRIM($AF13)="Urlaub",TRIM($AF13)="Exerzitien",TRIM($AF13)="Wallfahrt",TRIM($AF13)="Arbeitsbefreiung",TRIM($AF13)="Azubi - Berufsschule",TRIM($AF13)="Azubi - Schriftliche AP",TRIM($AF13)="Azubi - Mündliche AP",TRIM($AF13)="Azubi - Zwischenprüfung",TRIM($AF13)="Azubi - Prüfungsvorbereitung"),$AC13,IF(TRIM($AF13)="Betriebsausflug",IF($Z13=$AD13,$AC13,$AC13+($Z13-$AD13)*HLOOKUP($D$6,'AZ-Modell'!$C$7:$N$44,38,0)),IF(P13&lt;&gt;"",IF(O13&gt;P13,1-(O13-P13)-Q13,P13-O13-Q13),0)))</f>
        <v>0</v>
      </c>
      <c r="S13" s="285"/>
      <c r="T13" s="286"/>
      <c r="U13" s="286"/>
      <c r="V13" s="288">
        <f>ROUNDUP(($T13)*IF($U13&lt;&gt;0,$U13,IF(COUNT($T$9:$T13)&lt;8,20%,25%))*24/5,2)*5/24</f>
        <v>0</v>
      </c>
      <c r="W13" s="285"/>
      <c r="X13" s="289">
        <v>0</v>
      </c>
      <c r="Y13" s="290">
        <f t="shared" si="1"/>
        <v>0</v>
      </c>
      <c r="Z13" s="291">
        <f>IF(OR(TRIM($AF13)="Krank",TRIM($AF13)="Urlaub",TRIM($AF13)="Exerzitien",TRIM($AF13)="Wallfahrt",TRIM($AF13)="Arbeitsbefreiung"),$AD13,IF(OR(TRIM($AF13)="Azubi - Berufsschule",TRIM($AF13)="Azubi - Schriftliche AP",TRIM($AF13)="Azubi - Mündliche AP",TRIM($AF13)="Azubi - Zwischenprüfung",TRIM($AF13)="Azubi - Prüfungsvorbereitung"),VLOOKUP($AF13,Grunddaten!$F$26:$I$31,4,0),IF(TRIM($AF13)="Betriebsausflug",MAX(AD13,(7.8/39)*HLOOKUP($D$6,'AZ-Modell'!$C$7:$N$13,5,0),1/24),IF(AND(OR(TRIM($AF13)="Fortbildung",TRIM($AF13)="Dienstreise"),(+$H13+$M13+$R13+$V13)&lt;$AD13),$AD13,IF(AND(OR(TRIM($AF13)="Fortbildung",TRIM($AF13)="Dienstreise"),$X13&gt;0,(+$H13+$M13+$R13+$V13)&gt;10/24),10/24,$H13+$M13+$R13+$V13)))))</f>
        <v>0</v>
      </c>
      <c r="AA13" s="291">
        <f>IF(AND($C13&gt;=Grunddaten!$C$30,ISERROR(VLOOKUP($C13,Grunddaten!$F$36:$F$59,1,0)),ISERROR(VLOOKUP(TRIM($AF13),Grunddaten!$F$26:$F$26,1,0))),INDEX('AZ-Modell'!$C$16:$N$22,IF(WEEKDAY($C13)=1,7,WEEKDAY($C13)-1),MONTH($C13)),IF(TRIM($AF13)="Dienst (Feiertag)",IFERROR(VLOOKUP($C13,Grunddaten!$F$36:$I$59,4,0),0),0))</f>
        <v>0.32500000000000001</v>
      </c>
      <c r="AB13" s="291">
        <f>IF(AND($C13&gt;=Grunddaten!$C$30,ISERROR(VLOOKUP($C13,Grunddaten!$F$36:$F$59,1,0)),ISERROR(VLOOKUP(TRIM($AF13),Grunddaten!$F$26:$F$26,1,0))),INDEX('AZ-Modell'!$C$26:$N$32,IF(WEEKDAY($C13)=1,7,WEEKDAY($C13)-1),MONTH($C13)),IF(TRIM($AF13)="Dienst (Feiertag)",IFERROR(VLOOKUP($C13,Grunddaten!$F$36:$I$59,4,0),0),0))</f>
        <v>0</v>
      </c>
      <c r="AC13" s="291">
        <f>IF(AND($C13&gt;=Grunddaten!$C$30,ISERROR(VLOOKUP($C13,Grunddaten!$F$36:$F$59,1,0)),ISERROR(VLOOKUP(TRIM($AF13),Grunddaten!$F$26:$F$26,1,0))),INDEX('AZ-Modell'!$C$36:$N$42,IF(WEEKDAY($C13)=1,7,WEEKDAY($C13)-1),MONTH($C13)),IF(TRIM($AF13)="Dienst (Feiertag)",IFERROR(VLOOKUP($C13,Grunddaten!$F$36:$I$59,4,0),0),0))</f>
        <v>0</v>
      </c>
      <c r="AD13" s="291">
        <f t="shared" si="7"/>
        <v>0.32500000000000001</v>
      </c>
      <c r="AE13" s="290">
        <f t="shared" si="11"/>
        <v>-655.20000000000005</v>
      </c>
      <c r="AF13" s="292" t="str">
        <f>IFERROR(VLOOKUP($C13,Grunddaten!$F$36:$G$59,2,0),"")</f>
        <v/>
      </c>
      <c r="AG13" s="293"/>
      <c r="AH13" s="286">
        <v>0</v>
      </c>
      <c r="AI13" s="291">
        <f t="shared" si="8"/>
        <v>0</v>
      </c>
      <c r="AJ13" s="292"/>
      <c r="AK13" s="291">
        <f>IF(OR(TRIM($AF13)="Krank",TRIM($AF13)="Urlaub",TRIM($AF13)="Exerzitien",TRIM($AF13)="Regenerationstag",TRIM($AF13)="Wallfahrt",TRIM($AF13)="Arbeitsbefreiung",TRIM($AF13)="Umwandlungstag"),$AD13,IF(OR(TRIM($AF13)="Azubi - Berufsschule",TRIM($AF13)="Azubi - Schriftliche AP",TRIM($AF13)="Azubi - Mündliche AP",TRIM($AF13)="Azubi - Zwischenprüfung",TRIM($AF13)="Azubi - Prüfungsvorbereitung"),VLOOKUP($AF13,Grunddaten!$F$26:$I$31,4,0),IF(TRIM($AF13)="Namenstag",MAX((4/39)*HLOOKUP($D$6,'AZ-Modell'!$C$7:$N$13,5,0),1/24)+$H13+$M13+$R13+$V13,IF(TRIM($AF13)="Betriebsausflug",MAX(AD13,(7.8/39)*HLOOKUP($D$6,'AZ-Modell'!$C$7:$N$13,5,0),1/24),$H13+$M13+$R13+$V13))))</f>
        <v>0</v>
      </c>
      <c r="AL13" s="291">
        <f t="shared" si="2"/>
        <v>0</v>
      </c>
      <c r="AM13" s="291">
        <f>ROUND(IF(OR(TRIM($AF13)="Krank",TRIM($AF13)="Urlaub",TRIM($AF13)="Exerzitien",TRIM($AF13)="Wallfahrt",TRIM($AF13)="Arbeitsbefreiung",TRIM($AF13)="AZV",TRIM($AF13)="Betriebsausflug",TRIM($AF13)="Namenstag",TRIM($AF13)="Azubi - Berufsschule",TRIM($AF13)="Azubi - Schriftliche AP",TRIM($AF13)="Azubi - Mündliche AP",TRIM($AF13)="Azubi - Zwischenprüfung",TRIM($AF13)="Azubi - Prüfungsvorbereitung"),0,IF((DAYS360(Grunddaten!$C$25,$C13)/360&gt;=18),IF((($H13+$M13+$R13+$T13)*24)&lt;=6,0,IF(AND((($H13+$M13+$R13+$T13)*24)&gt;6,(($H13+$M13+$R13+$T13)*24)&lt;=9),0.5/24,0.75/24)),IF((($H13+$M13+$R13+$T13)*24)&lt;=4.5,0,IF(AND((($H13+$M13+$R13+$T13)*24)&gt;4.5,(($H13+$M13+$R13+$T13)*24)&lt;=6),0.5/24,1/24)))),5)</f>
        <v>0</v>
      </c>
      <c r="AN13" s="332" t="str">
        <f t="shared" si="9"/>
        <v>R</v>
      </c>
    </row>
    <row r="14" spans="1:40" s="294" customFormat="1" ht="21" customHeight="1" x14ac:dyDescent="0.35">
      <c r="A14" s="331">
        <f t="shared" si="3"/>
        <v>19</v>
      </c>
      <c r="B14" s="283" t="str">
        <f t="shared" si="4"/>
        <v>Di.</v>
      </c>
      <c r="C14" s="295">
        <f t="shared" si="10"/>
        <v>45783</v>
      </c>
      <c r="D14" s="285" t="str">
        <f>IF(OR(TRIM($AF14)="Krank",TRIM($AF14)="Urlaub",TRIM($AF14)="Exerzitien",TRIM($AF14)="Wallfahrt",TRIM($AF14)="Arbeitsbefreiung",TRIM($AF14)="Betriebsausflug",TRIM($AF14)="Azubi - Berufsschule",TRIM($AF14)="Azubi - Schriftliche AP",TRIM($AF14)="Azubi - Mündliche AP",TRIM($AF14)="Azubi - Zwischenprüfung",TRIM($AF14)="Azubi - Prüfungsvorbereitung"),1,"")</f>
        <v/>
      </c>
      <c r="E14" s="286"/>
      <c r="F14" s="286"/>
      <c r="G14" s="286"/>
      <c r="H14" s="287">
        <f>IF(OR(TRIM($AF14)="Krank",TRIM($AF14)="Urlaub",TRIM($AF14)="Exerzitien",TRIM($AF14)="Wallfahrt",TRIM($AF14)="Arbeitsbefreiung",TRIM($AF14)="Azubi - Berufsschule",TRIM($AF14)="Azubi - Schriftliche AP",TRIM($AF14)="Azubi - Mündliche AP",TRIM($AF14)="Azubi - Zwischenprüfung",TRIM($AF14)="Azubi - Prüfungsvorbereitung"),$AA14,IF(TRIM($AF14)="Betriebsausflug",IF($Z14=$AD14,$AA14,$AA14+($Z14-$AD14)*HLOOKUP($D$6,'AZ-Modell'!$C$7:$N$44,18,0)),IF(F14&lt;&gt;"",IF(E14&gt;F14,1-(E14-F14)-G14,F14-E14-G14),0)))</f>
        <v>0</v>
      </c>
      <c r="I14" s="285" t="str">
        <f t="shared" si="5"/>
        <v/>
      </c>
      <c r="J14" s="286"/>
      <c r="K14" s="286"/>
      <c r="L14" s="286"/>
      <c r="M14" s="287">
        <f>IF(OR(TRIM($AF14)="Krank",TRIM($AF14)="Urlaub",TRIM($AF14)="Exerzitien",TRIM($AF14)="Wallfahrt",TRIM($AF14)="Arbeitsbefreiung",TRIM($AF14)="Azubi - Berufsschule",TRIM($AF14)="Azubi - Schriftliche AP",TRIM($AF14)="Azubi - Mündliche AP",TRIM($AF14)="Azubi - Zwischenprüfung",TRIM($AF14)="Azubi - Prüfungsvorbereitung"),$AB14,IF(TRIM($AF14)="Betriebsausflug",IF($Z14=$AD14,$AB14,$AB14+($Z14-$AD14)*HLOOKUP($D$6,'AZ-Modell'!$C$7:$N$44,28,0)),IF(TRIM($AF14)="Namenstag",MAX((4/39)*HLOOKUP($D$6,'AZ-Modell'!$C$7:$N$13,5,0),1/24)+IF(K14&lt;&gt;"",IF(J14&gt;K14,1-(J14-K14)-L14,K14-J14-L14),0),IF(K14&lt;&gt;"",IF(J14&gt;K14,1-(J14-K14)-L14,K14-J14-L14),0))))</f>
        <v>0</v>
      </c>
      <c r="N14" s="285" t="str">
        <f t="shared" si="6"/>
        <v/>
      </c>
      <c r="O14" s="286"/>
      <c r="P14" s="286"/>
      <c r="Q14" s="286"/>
      <c r="R14" s="287">
        <f>IF(OR(TRIM($AF14)="Krank",TRIM($AF14)="Urlaub",TRIM($AF14)="Exerzitien",TRIM($AF14)="Wallfahrt",TRIM($AF14)="Arbeitsbefreiung",TRIM($AF14)="Azubi - Berufsschule",TRIM($AF14)="Azubi - Schriftliche AP",TRIM($AF14)="Azubi - Mündliche AP",TRIM($AF14)="Azubi - Zwischenprüfung",TRIM($AF14)="Azubi - Prüfungsvorbereitung"),$AC14,IF(TRIM($AF14)="Betriebsausflug",IF($Z14=$AD14,$AC14,$AC14+($Z14-$AD14)*HLOOKUP($D$6,'AZ-Modell'!$C$7:$N$44,38,0)),IF(P14&lt;&gt;"",IF(O14&gt;P14,1-(O14-P14)-Q14,P14-O14-Q14),0)))</f>
        <v>0</v>
      </c>
      <c r="S14" s="285"/>
      <c r="T14" s="286"/>
      <c r="U14" s="286"/>
      <c r="V14" s="288">
        <f>ROUNDUP(($T14)*IF($U14&lt;&gt;0,$U14,IF(COUNT($T$9:$T14)&lt;8,20%,25%))*24/5,2)*5/24</f>
        <v>0</v>
      </c>
      <c r="W14" s="285"/>
      <c r="X14" s="289">
        <v>0</v>
      </c>
      <c r="Y14" s="290">
        <f t="shared" si="1"/>
        <v>0</v>
      </c>
      <c r="Z14" s="291">
        <f>IF(OR(TRIM($AF14)="Krank",TRIM($AF14)="Urlaub",TRIM($AF14)="Exerzitien",TRIM($AF14)="Wallfahrt",TRIM($AF14)="Arbeitsbefreiung"),$AD14,IF(OR(TRIM($AF14)="Azubi - Berufsschule",TRIM($AF14)="Azubi - Schriftliche AP",TRIM($AF14)="Azubi - Mündliche AP",TRIM($AF14)="Azubi - Zwischenprüfung",TRIM($AF14)="Azubi - Prüfungsvorbereitung"),VLOOKUP($AF14,Grunddaten!$F$26:$I$31,4,0),IF(TRIM($AF14)="Betriebsausflug",MAX(AD14,(7.8/39)*HLOOKUP($D$6,'AZ-Modell'!$C$7:$N$13,5,0),1/24),IF(AND(OR(TRIM($AF14)="Fortbildung",TRIM($AF14)="Dienstreise"),(+$H14+$M14+$R14+$V14)&lt;$AD14),$AD14,IF(AND(OR(TRIM($AF14)="Fortbildung",TRIM($AF14)="Dienstreise"),$X14&gt;0,(+$H14+$M14+$R14+$V14)&gt;10/24),10/24,$H14+$M14+$R14+$V14)))))</f>
        <v>0</v>
      </c>
      <c r="AA14" s="291">
        <f>IF(AND($C14&gt;=Grunddaten!$C$30,ISERROR(VLOOKUP($C14,Grunddaten!$F$36:$F$59,1,0)),ISERROR(VLOOKUP(TRIM($AF14),Grunddaten!$F$26:$F$26,1,0))),INDEX('AZ-Modell'!$C$16:$N$22,IF(WEEKDAY($C14)=1,7,WEEKDAY($C14)-1),MONTH($C14)),IF(TRIM($AF14)="Dienst (Feiertag)",IFERROR(VLOOKUP($C14,Grunddaten!$F$36:$I$59,4,0),0),0))</f>
        <v>0.32500000000000001</v>
      </c>
      <c r="AB14" s="291">
        <f>IF(AND($C14&gt;=Grunddaten!$C$30,ISERROR(VLOOKUP($C14,Grunddaten!$F$36:$F$59,1,0)),ISERROR(VLOOKUP(TRIM($AF14),Grunddaten!$F$26:$F$26,1,0))),INDEX('AZ-Modell'!$C$26:$N$32,IF(WEEKDAY($C14)=1,7,WEEKDAY($C14)-1),MONTH($C14)),IF(TRIM($AF14)="Dienst (Feiertag)",IFERROR(VLOOKUP($C14,Grunddaten!$F$36:$I$59,4,0),0),0))</f>
        <v>0</v>
      </c>
      <c r="AC14" s="291">
        <f>IF(AND($C14&gt;=Grunddaten!$C$30,ISERROR(VLOOKUP($C14,Grunddaten!$F$36:$F$59,1,0)),ISERROR(VLOOKUP(TRIM($AF14),Grunddaten!$F$26:$F$26,1,0))),INDEX('AZ-Modell'!$C$36:$N$42,IF(WEEKDAY($C14)=1,7,WEEKDAY($C14)-1),MONTH($C14)),IF(TRIM($AF14)="Dienst (Feiertag)",IFERROR(VLOOKUP($C14,Grunddaten!$F$36:$I$59,4,0),0),0))</f>
        <v>0</v>
      </c>
      <c r="AD14" s="291">
        <f t="shared" si="7"/>
        <v>0.32500000000000001</v>
      </c>
      <c r="AE14" s="290">
        <f t="shared" si="11"/>
        <v>-663</v>
      </c>
      <c r="AF14" s="292" t="str">
        <f>IFERROR(VLOOKUP($C14,Grunddaten!$F$36:$G$59,2,0),"")</f>
        <v/>
      </c>
      <c r="AG14" s="293"/>
      <c r="AH14" s="286">
        <v>0</v>
      </c>
      <c r="AI14" s="291">
        <f t="shared" si="8"/>
        <v>0</v>
      </c>
      <c r="AJ14" s="292"/>
      <c r="AK14" s="291">
        <f>IF(OR(TRIM($AF14)="Krank",TRIM($AF14)="Urlaub",TRIM($AF14)="Exerzitien",TRIM($AF14)="Regenerationstag",TRIM($AF14)="Wallfahrt",TRIM($AF14)="Arbeitsbefreiung",TRIM($AF14)="Umwandlungstag"),$AD14,IF(OR(TRIM($AF14)="Azubi - Berufsschule",TRIM($AF14)="Azubi - Schriftliche AP",TRIM($AF14)="Azubi - Mündliche AP",TRIM($AF14)="Azubi - Zwischenprüfung",TRIM($AF14)="Azubi - Prüfungsvorbereitung"),VLOOKUP($AF14,Grunddaten!$F$26:$I$31,4,0),IF(TRIM($AF14)="Namenstag",MAX((4/39)*HLOOKUP($D$6,'AZ-Modell'!$C$7:$N$13,5,0),1/24)+$H14+$M14+$R14+$V14,IF(TRIM($AF14)="Betriebsausflug",MAX(AD14,(7.8/39)*HLOOKUP($D$6,'AZ-Modell'!$C$7:$N$13,5,0),1/24),$H14+$M14+$R14+$V14))))</f>
        <v>0</v>
      </c>
      <c r="AL14" s="291">
        <f t="shared" si="2"/>
        <v>0</v>
      </c>
      <c r="AM14" s="291">
        <f>ROUND(IF(OR(TRIM($AF14)="Krank",TRIM($AF14)="Urlaub",TRIM($AF14)="Exerzitien",TRIM($AF14)="Wallfahrt",TRIM($AF14)="Arbeitsbefreiung",TRIM($AF14)="AZV",TRIM($AF14)="Betriebsausflug",TRIM($AF14)="Namenstag",TRIM($AF14)="Azubi - Berufsschule",TRIM($AF14)="Azubi - Schriftliche AP",TRIM($AF14)="Azubi - Mündliche AP",TRIM($AF14)="Azubi - Zwischenprüfung",TRIM($AF14)="Azubi - Prüfungsvorbereitung"),0,IF((DAYS360(Grunddaten!$C$25,$C14)/360&gt;=18),IF((($H14+$M14+$R14+$T14)*24)&lt;=6,0,IF(AND((($H14+$M14+$R14+$T14)*24)&gt;6,(($H14+$M14+$R14+$T14)*24)&lt;=9),0.5/24,0.75/24)),IF((($H14+$M14+$R14+$T14)*24)&lt;=4.5,0,IF(AND((($H14+$M14+$R14+$T14)*24)&gt;4.5,(($H14+$M14+$R14+$T14)*24)&lt;=6),0.5/24,1/24)))),5)</f>
        <v>0</v>
      </c>
      <c r="AN14" s="332" t="str">
        <f t="shared" si="9"/>
        <v>R</v>
      </c>
    </row>
    <row r="15" spans="1:40" s="294" customFormat="1" ht="21" customHeight="1" x14ac:dyDescent="0.35">
      <c r="A15" s="331">
        <f t="shared" si="3"/>
        <v>19</v>
      </c>
      <c r="B15" s="283" t="str">
        <f t="shared" si="4"/>
        <v>Mi.</v>
      </c>
      <c r="C15" s="295">
        <f t="shared" si="10"/>
        <v>45784</v>
      </c>
      <c r="D15" s="285" t="str">
        <f t="shared" si="0"/>
        <v/>
      </c>
      <c r="E15" s="286"/>
      <c r="F15" s="286"/>
      <c r="G15" s="286"/>
      <c r="H15" s="287">
        <f>IF(OR(TRIM($AF15)="Krank",TRIM($AF15)="Urlaub",TRIM($AF15)="Exerzitien",TRIM($AF15)="Wallfahrt",TRIM($AF15)="Arbeitsbefreiung",TRIM($AF15)="Azubi - Berufsschule",TRIM($AF15)="Azubi - Schriftliche AP",TRIM($AF15)="Azubi - Mündliche AP",TRIM($AF15)="Azubi - Zwischenprüfung",TRIM($AF15)="Azubi - Prüfungsvorbereitung"),$AA15,IF(TRIM($AF15)="Betriebsausflug",IF($Z15=$AD15,$AA15,$AA15+($Z15-$AD15)*HLOOKUP($D$6,'AZ-Modell'!$C$7:$N$44,18,0)),IF(F15&lt;&gt;"",IF(E15&gt;F15,1-(E15-F15)-G15,F15-E15-G15),0)))</f>
        <v>0</v>
      </c>
      <c r="I15" s="285" t="str">
        <f t="shared" si="5"/>
        <v/>
      </c>
      <c r="J15" s="286"/>
      <c r="K15" s="286"/>
      <c r="L15" s="286"/>
      <c r="M15" s="287">
        <f>IF(OR(TRIM($AF15)="Krank",TRIM($AF15)="Urlaub",TRIM($AF15)="Exerzitien",TRIM($AF15)="Wallfahrt",TRIM($AF15)="Arbeitsbefreiung",TRIM($AF15)="Azubi - Berufsschule",TRIM($AF15)="Azubi - Schriftliche AP",TRIM($AF15)="Azubi - Mündliche AP",TRIM($AF15)="Azubi - Zwischenprüfung",TRIM($AF15)="Azubi - Prüfungsvorbereitung"),$AB15,IF(TRIM($AF15)="Betriebsausflug",IF($Z15=$AD15,$AB15,$AB15+($Z15-$AD15)*HLOOKUP($D$6,'AZ-Modell'!$C$7:$N$44,28,0)),IF(TRIM($AF15)="Namenstag",MAX((4/39)*HLOOKUP($D$6,'AZ-Modell'!$C$7:$N$13,5,0),1/24)+IF(K15&lt;&gt;"",IF(J15&gt;K15,1-(J15-K15)-L15,K15-J15-L15),0),IF(K15&lt;&gt;"",IF(J15&gt;K15,1-(J15-K15)-L15,K15-J15-L15),0))))</f>
        <v>0</v>
      </c>
      <c r="N15" s="285" t="str">
        <f t="shared" si="6"/>
        <v/>
      </c>
      <c r="O15" s="286"/>
      <c r="P15" s="286"/>
      <c r="Q15" s="286"/>
      <c r="R15" s="287">
        <f>IF(OR(TRIM($AF15)="Krank",TRIM($AF15)="Urlaub",TRIM($AF15)="Exerzitien",TRIM($AF15)="Wallfahrt",TRIM($AF15)="Arbeitsbefreiung",TRIM($AF15)="Azubi - Berufsschule",TRIM($AF15)="Azubi - Schriftliche AP",TRIM($AF15)="Azubi - Mündliche AP",TRIM($AF15)="Azubi - Zwischenprüfung",TRIM($AF15)="Azubi - Prüfungsvorbereitung"),$AC15,IF(TRIM($AF15)="Betriebsausflug",IF($Z15=$AD15,$AC15,$AC15+($Z15-$AD15)*HLOOKUP($D$6,'AZ-Modell'!$C$7:$N$44,38,0)),IF(P15&lt;&gt;"",IF(O15&gt;P15,1-(O15-P15)-Q15,P15-O15-Q15),0)))</f>
        <v>0</v>
      </c>
      <c r="S15" s="285"/>
      <c r="T15" s="286"/>
      <c r="U15" s="286"/>
      <c r="V15" s="288">
        <f>ROUNDUP(($T15)*IF($U15&lt;&gt;0,$U15,IF(COUNT($T$9:$T15)&lt;8,20%,25%))*24/5,2)*5/24</f>
        <v>0</v>
      </c>
      <c r="W15" s="285"/>
      <c r="X15" s="289">
        <v>0</v>
      </c>
      <c r="Y15" s="290">
        <f t="shared" si="1"/>
        <v>0</v>
      </c>
      <c r="Z15" s="291">
        <f>IF(OR(TRIM($AF15)="Krank",TRIM($AF15)="Urlaub",TRIM($AF15)="Exerzitien",TRIM($AF15)="Wallfahrt",TRIM($AF15)="Arbeitsbefreiung"),$AD15,IF(OR(TRIM($AF15)="Azubi - Berufsschule",TRIM($AF15)="Azubi - Schriftliche AP",TRIM($AF15)="Azubi - Mündliche AP",TRIM($AF15)="Azubi - Zwischenprüfung",TRIM($AF15)="Azubi - Prüfungsvorbereitung"),VLOOKUP($AF15,Grunddaten!$F$26:$I$31,4,0),IF(TRIM($AF15)="Betriebsausflug",MAX(AD15,(7.8/39)*HLOOKUP($D$6,'AZ-Modell'!$C$7:$N$13,5,0),1/24),IF(AND(OR(TRIM($AF15)="Fortbildung",TRIM($AF15)="Dienstreise"),(+$H15+$M15+$R15+$V15)&lt;$AD15),$AD15,IF(AND(OR(TRIM($AF15)="Fortbildung",TRIM($AF15)="Dienstreise"),$X15&gt;0,(+$H15+$M15+$R15+$V15)&gt;10/24),10/24,$H15+$M15+$R15+$V15)))))</f>
        <v>0</v>
      </c>
      <c r="AA15" s="291">
        <f>IF(AND($C15&gt;=Grunddaten!$C$30,ISERROR(VLOOKUP($C15,Grunddaten!$F$36:$F$59,1,0)),ISERROR(VLOOKUP(TRIM($AF15),Grunddaten!$F$26:$F$26,1,0))),INDEX('AZ-Modell'!$C$16:$N$22,IF(WEEKDAY($C15)=1,7,WEEKDAY($C15)-1),MONTH($C15)),IF(TRIM($AF15)="Dienst (Feiertag)",IFERROR(VLOOKUP($C15,Grunddaten!$F$36:$I$59,4,0),0),0))</f>
        <v>0.32500000000000001</v>
      </c>
      <c r="AB15" s="291">
        <f>IF(AND($C15&gt;=Grunddaten!$C$30,ISERROR(VLOOKUP($C15,Grunddaten!$F$36:$F$59,1,0)),ISERROR(VLOOKUP(TRIM($AF15),Grunddaten!$F$26:$F$26,1,0))),INDEX('AZ-Modell'!$C$26:$N$32,IF(WEEKDAY($C15)=1,7,WEEKDAY($C15)-1),MONTH($C15)),IF(TRIM($AF15)="Dienst (Feiertag)",IFERROR(VLOOKUP($C15,Grunddaten!$F$36:$I$59,4,0),0),0))</f>
        <v>0</v>
      </c>
      <c r="AC15" s="291">
        <f>IF(AND($C15&gt;=Grunddaten!$C$30,ISERROR(VLOOKUP($C15,Grunddaten!$F$36:$F$59,1,0)),ISERROR(VLOOKUP(TRIM($AF15),Grunddaten!$F$26:$F$26,1,0))),INDEX('AZ-Modell'!$C$36:$N$42,IF(WEEKDAY($C15)=1,7,WEEKDAY($C15)-1),MONTH($C15)),IF(TRIM($AF15)="Dienst (Feiertag)",IFERROR(VLOOKUP($C15,Grunddaten!$F$36:$I$59,4,0),0),0))</f>
        <v>0</v>
      </c>
      <c r="AD15" s="291">
        <f t="shared" si="7"/>
        <v>0.32500000000000001</v>
      </c>
      <c r="AE15" s="290">
        <f t="shared" si="11"/>
        <v>-670.8</v>
      </c>
      <c r="AF15" s="292" t="str">
        <f>IFERROR(VLOOKUP($C15,Grunddaten!$F$36:$G$59,2,0),"")</f>
        <v/>
      </c>
      <c r="AG15" s="293"/>
      <c r="AH15" s="286">
        <v>0</v>
      </c>
      <c r="AI15" s="291">
        <f t="shared" si="8"/>
        <v>0</v>
      </c>
      <c r="AJ15" s="292"/>
      <c r="AK15" s="291">
        <f>IF(OR(TRIM($AF15)="Krank",TRIM($AF15)="Urlaub",TRIM($AF15)="Exerzitien",TRIM($AF15)="Regenerationstag",TRIM($AF15)="Wallfahrt",TRIM($AF15)="Arbeitsbefreiung",TRIM($AF15)="Umwandlungstag"),$AD15,IF(OR(TRIM($AF15)="Azubi - Berufsschule",TRIM($AF15)="Azubi - Schriftliche AP",TRIM($AF15)="Azubi - Mündliche AP",TRIM($AF15)="Azubi - Zwischenprüfung",TRIM($AF15)="Azubi - Prüfungsvorbereitung"),VLOOKUP($AF15,Grunddaten!$F$26:$I$31,4,0),IF(TRIM($AF15)="Namenstag",MAX((4/39)*HLOOKUP($D$6,'AZ-Modell'!$C$7:$N$13,5,0),1/24)+$H15+$M15+$R15+$V15,IF(TRIM($AF15)="Betriebsausflug",MAX(AD15,(7.8/39)*HLOOKUP($D$6,'AZ-Modell'!$C$7:$N$13,5,0),1/24),$H15+$M15+$R15+$V15))))</f>
        <v>0</v>
      </c>
      <c r="AL15" s="291">
        <f t="shared" si="2"/>
        <v>0</v>
      </c>
      <c r="AM15" s="291">
        <f>ROUND(IF(OR(TRIM($AF15)="Krank",TRIM($AF15)="Urlaub",TRIM($AF15)="Exerzitien",TRIM($AF15)="Wallfahrt",TRIM($AF15)="Arbeitsbefreiung",TRIM($AF15)="AZV",TRIM($AF15)="Betriebsausflug",TRIM($AF15)="Namenstag",TRIM($AF15)="Azubi - Berufsschule",TRIM($AF15)="Azubi - Schriftliche AP",TRIM($AF15)="Azubi - Mündliche AP",TRIM($AF15)="Azubi - Zwischenprüfung",TRIM($AF15)="Azubi - Prüfungsvorbereitung"),0,IF((DAYS360(Grunddaten!$C$25,$C15)/360&gt;=18),IF((($H15+$M15+$R15+$T15)*24)&lt;=6,0,IF(AND((($H15+$M15+$R15+$T15)*24)&gt;6,(($H15+$M15+$R15+$T15)*24)&lt;=9),0.5/24,0.75/24)),IF((($H15+$M15+$R15+$T15)*24)&lt;=4.5,0,IF(AND((($H15+$M15+$R15+$T15)*24)&gt;4.5,(($H15+$M15+$R15+$T15)*24)&lt;=6),0.5/24,1/24)))),5)</f>
        <v>0</v>
      </c>
      <c r="AN15" s="332" t="str">
        <f t="shared" si="9"/>
        <v>R</v>
      </c>
    </row>
    <row r="16" spans="1:40" s="294" customFormat="1" ht="21" customHeight="1" x14ac:dyDescent="0.35">
      <c r="A16" s="331">
        <f t="shared" si="3"/>
        <v>19</v>
      </c>
      <c r="B16" s="283" t="str">
        <f t="shared" si="4"/>
        <v>Do.</v>
      </c>
      <c r="C16" s="295">
        <f t="shared" si="10"/>
        <v>45785</v>
      </c>
      <c r="D16" s="285" t="str">
        <f t="shared" si="0"/>
        <v/>
      </c>
      <c r="E16" s="286"/>
      <c r="F16" s="286"/>
      <c r="G16" s="286"/>
      <c r="H16" s="287">
        <f>IF(OR(TRIM($AF16)="Krank",TRIM($AF16)="Urlaub",TRIM($AF16)="Exerzitien",TRIM($AF16)="Wallfahrt",TRIM($AF16)="Arbeitsbefreiung",TRIM($AF16)="Azubi - Berufsschule",TRIM($AF16)="Azubi - Schriftliche AP",TRIM($AF16)="Azubi - Mündliche AP",TRIM($AF16)="Azubi - Zwischenprüfung",TRIM($AF16)="Azubi - Prüfungsvorbereitung"),$AA16,IF(TRIM($AF16)="Betriebsausflug",IF($Z16=$AD16,$AA16,$AA16+($Z16-$AD16)*HLOOKUP($D$6,'AZ-Modell'!$C$7:$N$44,18,0)),IF(F16&lt;&gt;"",IF(E16&gt;F16,1-(E16-F16)-G16,F16-E16-G16),0)))</f>
        <v>0</v>
      </c>
      <c r="I16" s="285" t="str">
        <f t="shared" si="5"/>
        <v/>
      </c>
      <c r="J16" s="286"/>
      <c r="K16" s="286"/>
      <c r="L16" s="286"/>
      <c r="M16" s="287">
        <f>IF(OR(TRIM($AF16)="Krank",TRIM($AF16)="Urlaub",TRIM($AF16)="Exerzitien",TRIM($AF16)="Wallfahrt",TRIM($AF16)="Arbeitsbefreiung",TRIM($AF16)="Azubi - Berufsschule",TRIM($AF16)="Azubi - Schriftliche AP",TRIM($AF16)="Azubi - Mündliche AP",TRIM($AF16)="Azubi - Zwischenprüfung",TRIM($AF16)="Azubi - Prüfungsvorbereitung"),$AB16,IF(TRIM($AF16)="Betriebsausflug",IF($Z16=$AD16,$AB16,$AB16+($Z16-$AD16)*HLOOKUP($D$6,'AZ-Modell'!$C$7:$N$44,28,0)),IF(TRIM($AF16)="Namenstag",MAX((4/39)*HLOOKUP($D$6,'AZ-Modell'!$C$7:$N$13,5,0),1/24)+IF(K16&lt;&gt;"",IF(J16&gt;K16,1-(J16-K16)-L16,K16-J16-L16),0),IF(K16&lt;&gt;"",IF(J16&gt;K16,1-(J16-K16)-L16,K16-J16-L16),0))))</f>
        <v>0</v>
      </c>
      <c r="N16" s="285" t="str">
        <f t="shared" si="6"/>
        <v/>
      </c>
      <c r="O16" s="286"/>
      <c r="P16" s="286"/>
      <c r="Q16" s="286"/>
      <c r="R16" s="287">
        <f>IF(OR(TRIM($AF16)="Krank",TRIM($AF16)="Urlaub",TRIM($AF16)="Exerzitien",TRIM($AF16)="Wallfahrt",TRIM($AF16)="Arbeitsbefreiung",TRIM($AF16)="Azubi - Berufsschule",TRIM($AF16)="Azubi - Schriftliche AP",TRIM($AF16)="Azubi - Mündliche AP",TRIM($AF16)="Azubi - Zwischenprüfung",TRIM($AF16)="Azubi - Prüfungsvorbereitung"),$AC16,IF(TRIM($AF16)="Betriebsausflug",IF($Z16=$AD16,$AC16,$AC16+($Z16-$AD16)*HLOOKUP($D$6,'AZ-Modell'!$C$7:$N$44,38,0)),IF(P16&lt;&gt;"",IF(O16&gt;P16,1-(O16-P16)-Q16,P16-O16-Q16),0)))</f>
        <v>0</v>
      </c>
      <c r="S16" s="285"/>
      <c r="T16" s="286"/>
      <c r="U16" s="286"/>
      <c r="V16" s="288">
        <f>ROUNDUP(($T16)*IF($U16&lt;&gt;0,$U16,IF(COUNT($T$9:$T16)&lt;8,20%,25%))*24/5,2)*5/24</f>
        <v>0</v>
      </c>
      <c r="W16" s="285"/>
      <c r="X16" s="289">
        <v>0</v>
      </c>
      <c r="Y16" s="290">
        <f t="shared" si="1"/>
        <v>0</v>
      </c>
      <c r="Z16" s="291">
        <f>IF(OR(TRIM($AF16)="Krank",TRIM($AF16)="Urlaub",TRIM($AF16)="Exerzitien",TRIM($AF16)="Wallfahrt",TRIM($AF16)="Arbeitsbefreiung"),$AD16,IF(OR(TRIM($AF16)="Azubi - Berufsschule",TRIM($AF16)="Azubi - Schriftliche AP",TRIM($AF16)="Azubi - Mündliche AP",TRIM($AF16)="Azubi - Zwischenprüfung",TRIM($AF16)="Azubi - Prüfungsvorbereitung"),VLOOKUP($AF16,Grunddaten!$F$26:$I$31,4,0),IF(TRIM($AF16)="Betriebsausflug",MAX(AD16,(7.8/39)*HLOOKUP($D$6,'AZ-Modell'!$C$7:$N$13,5,0),1/24),IF(AND(OR(TRIM($AF16)="Fortbildung",TRIM($AF16)="Dienstreise"),(+$H16+$M16+$R16+$V16)&lt;$AD16),$AD16,IF(AND(OR(TRIM($AF16)="Fortbildung",TRIM($AF16)="Dienstreise"),$X16&gt;0,(+$H16+$M16+$R16+$V16)&gt;10/24),10/24,$H16+$M16+$R16+$V16)))))</f>
        <v>0</v>
      </c>
      <c r="AA16" s="291">
        <f>IF(AND($C16&gt;=Grunddaten!$C$30,ISERROR(VLOOKUP($C16,Grunddaten!$F$36:$F$59,1,0)),ISERROR(VLOOKUP(TRIM($AF16),Grunddaten!$F$26:$F$26,1,0))),INDEX('AZ-Modell'!$C$16:$N$22,IF(WEEKDAY($C16)=1,7,WEEKDAY($C16)-1),MONTH($C16)),IF(TRIM($AF16)="Dienst (Feiertag)",IFERROR(VLOOKUP($C16,Grunddaten!$F$36:$I$59,4,0),0),0))</f>
        <v>0.32500000000000001</v>
      </c>
      <c r="AB16" s="291">
        <f>IF(AND($C16&gt;=Grunddaten!$C$30,ISERROR(VLOOKUP($C16,Grunddaten!$F$36:$F$59,1,0)),ISERROR(VLOOKUP(TRIM($AF16),Grunddaten!$F$26:$F$26,1,0))),INDEX('AZ-Modell'!$C$26:$N$32,IF(WEEKDAY($C16)=1,7,WEEKDAY($C16)-1),MONTH($C16)),IF(TRIM($AF16)="Dienst (Feiertag)",IFERROR(VLOOKUP($C16,Grunddaten!$F$36:$I$59,4,0),0),0))</f>
        <v>0</v>
      </c>
      <c r="AC16" s="291">
        <f>IF(AND($C16&gt;=Grunddaten!$C$30,ISERROR(VLOOKUP($C16,Grunddaten!$F$36:$F$59,1,0)),ISERROR(VLOOKUP(TRIM($AF16),Grunddaten!$F$26:$F$26,1,0))),INDEX('AZ-Modell'!$C$36:$N$42,IF(WEEKDAY($C16)=1,7,WEEKDAY($C16)-1),MONTH($C16)),IF(TRIM($AF16)="Dienst (Feiertag)",IFERROR(VLOOKUP($C16,Grunddaten!$F$36:$I$59,4,0),0),0))</f>
        <v>0</v>
      </c>
      <c r="AD16" s="291">
        <f t="shared" si="7"/>
        <v>0.32500000000000001</v>
      </c>
      <c r="AE16" s="290">
        <f t="shared" si="11"/>
        <v>-678.59999999999991</v>
      </c>
      <c r="AF16" s="292" t="str">
        <f>IFERROR(VLOOKUP($C16,Grunddaten!$F$36:$G$59,2,0),"")</f>
        <v/>
      </c>
      <c r="AG16" s="293"/>
      <c r="AH16" s="286">
        <v>0</v>
      </c>
      <c r="AI16" s="291">
        <f t="shared" si="8"/>
        <v>0</v>
      </c>
      <c r="AJ16" s="292"/>
      <c r="AK16" s="291">
        <f>IF(OR(TRIM($AF16)="Krank",TRIM($AF16)="Urlaub",TRIM($AF16)="Exerzitien",TRIM($AF16)="Regenerationstag",TRIM($AF16)="Wallfahrt",TRIM($AF16)="Arbeitsbefreiung",TRIM($AF16)="Umwandlungstag"),$AD16,IF(OR(TRIM($AF16)="Azubi - Berufsschule",TRIM($AF16)="Azubi - Schriftliche AP",TRIM($AF16)="Azubi - Mündliche AP",TRIM($AF16)="Azubi - Zwischenprüfung",TRIM($AF16)="Azubi - Prüfungsvorbereitung"),VLOOKUP($AF16,Grunddaten!$F$26:$I$31,4,0),IF(TRIM($AF16)="Namenstag",MAX((4/39)*HLOOKUP($D$6,'AZ-Modell'!$C$7:$N$13,5,0),1/24)+$H16+$M16+$R16+$V16,IF(TRIM($AF16)="Betriebsausflug",MAX(AD16,(7.8/39)*HLOOKUP($D$6,'AZ-Modell'!$C$7:$N$13,5,0),1/24),$H16+$M16+$R16+$V16))))</f>
        <v>0</v>
      </c>
      <c r="AL16" s="291">
        <f t="shared" si="2"/>
        <v>0</v>
      </c>
      <c r="AM16" s="291">
        <f>ROUND(IF(OR(TRIM($AF16)="Krank",TRIM($AF16)="Urlaub",TRIM($AF16)="Exerzitien",TRIM($AF16)="Wallfahrt",TRIM($AF16)="Arbeitsbefreiung",TRIM($AF16)="AZV",TRIM($AF16)="Betriebsausflug",TRIM($AF16)="Namenstag",TRIM($AF16)="Azubi - Berufsschule",TRIM($AF16)="Azubi - Schriftliche AP",TRIM($AF16)="Azubi - Mündliche AP",TRIM($AF16)="Azubi - Zwischenprüfung",TRIM($AF16)="Azubi - Prüfungsvorbereitung"),0,IF((DAYS360(Grunddaten!$C$25,$C16)/360&gt;=18),IF((($H16+$M16+$R16+$T16)*24)&lt;=6,0,IF(AND((($H16+$M16+$R16+$T16)*24)&gt;6,(($H16+$M16+$R16+$T16)*24)&lt;=9),0.5/24,0.75/24)),IF((($H16+$M16+$R16+$T16)*24)&lt;=4.5,0,IF(AND((($H16+$M16+$R16+$T16)*24)&gt;4.5,(($H16+$M16+$R16+$T16)*24)&lt;=6),0.5/24,1/24)))),5)</f>
        <v>0</v>
      </c>
      <c r="AN16" s="332" t="str">
        <f t="shared" si="9"/>
        <v>R</v>
      </c>
    </row>
    <row r="17" spans="1:40" s="294" customFormat="1" ht="21" customHeight="1" x14ac:dyDescent="0.35">
      <c r="A17" s="331">
        <f t="shared" si="3"/>
        <v>19</v>
      </c>
      <c r="B17" s="283" t="str">
        <f t="shared" si="4"/>
        <v>Fr.</v>
      </c>
      <c r="C17" s="295">
        <f t="shared" si="10"/>
        <v>45786</v>
      </c>
      <c r="D17" s="285" t="str">
        <f t="shared" si="0"/>
        <v/>
      </c>
      <c r="E17" s="286"/>
      <c r="F17" s="286"/>
      <c r="G17" s="286"/>
      <c r="H17" s="287">
        <f>IF(OR(TRIM($AF17)="Krank",TRIM($AF17)="Urlaub",TRIM($AF17)="Exerzitien",TRIM($AF17)="Wallfahrt",TRIM($AF17)="Arbeitsbefreiung",TRIM($AF17)="Azubi - Berufsschule",TRIM($AF17)="Azubi - Schriftliche AP",TRIM($AF17)="Azubi - Mündliche AP",TRIM($AF17)="Azubi - Zwischenprüfung",TRIM($AF17)="Azubi - Prüfungsvorbereitung"),$AA17,IF(TRIM($AF17)="Betriebsausflug",IF($Z17=$AD17,$AA17,$AA17+($Z17-$AD17)*HLOOKUP($D$6,'AZ-Modell'!$C$7:$N$44,18,0)),IF(F17&lt;&gt;"",IF(E17&gt;F17,1-(E17-F17)-G17,F17-E17-G17),0)))</f>
        <v>0</v>
      </c>
      <c r="I17" s="285" t="str">
        <f t="shared" si="5"/>
        <v/>
      </c>
      <c r="J17" s="286"/>
      <c r="K17" s="286"/>
      <c r="L17" s="286"/>
      <c r="M17" s="287">
        <f>IF(OR(TRIM($AF17)="Krank",TRIM($AF17)="Urlaub",TRIM($AF17)="Exerzitien",TRIM($AF17)="Wallfahrt",TRIM($AF17)="Arbeitsbefreiung",TRIM($AF17)="Azubi - Berufsschule",TRIM($AF17)="Azubi - Schriftliche AP",TRIM($AF17)="Azubi - Mündliche AP",TRIM($AF17)="Azubi - Zwischenprüfung",TRIM($AF17)="Azubi - Prüfungsvorbereitung"),$AB17,IF(TRIM($AF17)="Betriebsausflug",IF($Z17=$AD17,$AB17,$AB17+($Z17-$AD17)*HLOOKUP($D$6,'AZ-Modell'!$C$7:$N$44,28,0)),IF(TRIM($AF17)="Namenstag",MAX((4/39)*HLOOKUP($D$6,'AZ-Modell'!$C$7:$N$13,5,0),1/24)+IF(K17&lt;&gt;"",IF(J17&gt;K17,1-(J17-K17)-L17,K17-J17-L17),0),IF(K17&lt;&gt;"",IF(J17&gt;K17,1-(J17-K17)-L17,K17-J17-L17),0))))</f>
        <v>0</v>
      </c>
      <c r="N17" s="285" t="str">
        <f t="shared" si="6"/>
        <v/>
      </c>
      <c r="O17" s="286"/>
      <c r="P17" s="286"/>
      <c r="Q17" s="286"/>
      <c r="R17" s="287">
        <f>IF(OR(TRIM($AF17)="Krank",TRIM($AF17)="Urlaub",TRIM($AF17)="Exerzitien",TRIM($AF17)="Wallfahrt",TRIM($AF17)="Arbeitsbefreiung",TRIM($AF17)="Azubi - Berufsschule",TRIM($AF17)="Azubi - Schriftliche AP",TRIM($AF17)="Azubi - Mündliche AP",TRIM($AF17)="Azubi - Zwischenprüfung",TRIM($AF17)="Azubi - Prüfungsvorbereitung"),$AC17,IF(TRIM($AF17)="Betriebsausflug",IF($Z17=$AD17,$AC17,$AC17+($Z17-$AD17)*HLOOKUP($D$6,'AZ-Modell'!$C$7:$N$44,38,0)),IF(P17&lt;&gt;"",IF(O17&gt;P17,1-(O17-P17)-Q17,P17-O17-Q17),0)))</f>
        <v>0</v>
      </c>
      <c r="S17" s="285"/>
      <c r="T17" s="286"/>
      <c r="U17" s="286"/>
      <c r="V17" s="288">
        <f>ROUNDUP(($T17)*IF($U17&lt;&gt;0,$U17,IF(COUNT($T$9:$T17)&lt;8,20%,25%))*24/5,2)*5/24</f>
        <v>0</v>
      </c>
      <c r="W17" s="285"/>
      <c r="X17" s="289">
        <v>0</v>
      </c>
      <c r="Y17" s="290">
        <f t="shared" si="1"/>
        <v>0</v>
      </c>
      <c r="Z17" s="291">
        <f>IF(OR(TRIM($AF17)="Krank",TRIM($AF17)="Urlaub",TRIM($AF17)="Exerzitien",TRIM($AF17)="Wallfahrt",TRIM($AF17)="Arbeitsbefreiung"),$AD17,IF(OR(TRIM($AF17)="Azubi - Berufsschule",TRIM($AF17)="Azubi - Schriftliche AP",TRIM($AF17)="Azubi - Mündliche AP",TRIM($AF17)="Azubi - Zwischenprüfung",TRIM($AF17)="Azubi - Prüfungsvorbereitung"),VLOOKUP($AF17,Grunddaten!$F$26:$I$31,4,0),IF(TRIM($AF17)="Betriebsausflug",MAX(AD17,(7.8/39)*HLOOKUP($D$6,'AZ-Modell'!$C$7:$N$13,5,0),1/24),IF(AND(OR(TRIM($AF17)="Fortbildung",TRIM($AF17)="Dienstreise"),(+$H17+$M17+$R17+$V17)&lt;$AD17),$AD17,IF(AND(OR(TRIM($AF17)="Fortbildung",TRIM($AF17)="Dienstreise"),$X17&gt;0,(+$H17+$M17+$R17+$V17)&gt;10/24),10/24,$H17+$M17+$R17+$V17)))))</f>
        <v>0</v>
      </c>
      <c r="AA17" s="291">
        <f>IF(AND($C17&gt;=Grunddaten!$C$30,ISERROR(VLOOKUP($C17,Grunddaten!$F$36:$F$59,1,0)),ISERROR(VLOOKUP(TRIM($AF17),Grunddaten!$F$26:$F$26,1,0))),INDEX('AZ-Modell'!$C$16:$N$22,IF(WEEKDAY($C17)=1,7,WEEKDAY($C17)-1),MONTH($C17)),IF(TRIM($AF17)="Dienst (Feiertag)",IFERROR(VLOOKUP($C17,Grunddaten!$F$36:$I$59,4,0),0),0))</f>
        <v>0.32500000000000001</v>
      </c>
      <c r="AB17" s="291">
        <f>IF(AND($C17&gt;=Grunddaten!$C$30,ISERROR(VLOOKUP($C17,Grunddaten!$F$36:$F$59,1,0)),ISERROR(VLOOKUP(TRIM($AF17),Grunddaten!$F$26:$F$26,1,0))),INDEX('AZ-Modell'!$C$26:$N$32,IF(WEEKDAY($C17)=1,7,WEEKDAY($C17)-1),MONTH($C17)),IF(TRIM($AF17)="Dienst (Feiertag)",IFERROR(VLOOKUP($C17,Grunddaten!$F$36:$I$59,4,0),0),0))</f>
        <v>0</v>
      </c>
      <c r="AC17" s="291">
        <f>IF(AND($C17&gt;=Grunddaten!$C$30,ISERROR(VLOOKUP($C17,Grunddaten!$F$36:$F$59,1,0)),ISERROR(VLOOKUP(TRIM($AF17),Grunddaten!$F$26:$F$26,1,0))),INDEX('AZ-Modell'!$C$36:$N$42,IF(WEEKDAY($C17)=1,7,WEEKDAY($C17)-1),MONTH($C17)),IF(TRIM($AF17)="Dienst (Feiertag)",IFERROR(VLOOKUP($C17,Grunddaten!$F$36:$I$59,4,0),0),0))</f>
        <v>0</v>
      </c>
      <c r="AD17" s="291">
        <f t="shared" si="7"/>
        <v>0.32500000000000001</v>
      </c>
      <c r="AE17" s="290">
        <f t="shared" si="11"/>
        <v>-686.39999999999986</v>
      </c>
      <c r="AF17" s="292" t="str">
        <f>IFERROR(VLOOKUP($C17,Grunddaten!$F$36:$G$59,2,0),"")</f>
        <v/>
      </c>
      <c r="AG17" s="293"/>
      <c r="AH17" s="286">
        <v>0</v>
      </c>
      <c r="AI17" s="291">
        <f t="shared" si="8"/>
        <v>0</v>
      </c>
      <c r="AJ17" s="292"/>
      <c r="AK17" s="291">
        <f>IF(OR(TRIM($AF17)="Krank",TRIM($AF17)="Urlaub",TRIM($AF17)="Exerzitien",TRIM($AF17)="Regenerationstag",TRIM($AF17)="Wallfahrt",TRIM($AF17)="Arbeitsbefreiung",TRIM($AF17)="Umwandlungstag"),$AD17,IF(OR(TRIM($AF17)="Azubi - Berufsschule",TRIM($AF17)="Azubi - Schriftliche AP",TRIM($AF17)="Azubi - Mündliche AP",TRIM($AF17)="Azubi - Zwischenprüfung",TRIM($AF17)="Azubi - Prüfungsvorbereitung"),VLOOKUP($AF17,Grunddaten!$F$26:$I$31,4,0),IF(TRIM($AF17)="Namenstag",MAX((4/39)*HLOOKUP($D$6,'AZ-Modell'!$C$7:$N$13,5,0),1/24)+$H17+$M17+$R17+$V17,IF(TRIM($AF17)="Betriebsausflug",MAX(AD17,(7.8/39)*HLOOKUP($D$6,'AZ-Modell'!$C$7:$N$13,5,0),1/24),$H17+$M17+$R17+$V17))))</f>
        <v>0</v>
      </c>
      <c r="AL17" s="291">
        <f t="shared" si="2"/>
        <v>0</v>
      </c>
      <c r="AM17" s="291">
        <f>ROUND(IF(OR(TRIM($AF17)="Krank",TRIM($AF17)="Urlaub",TRIM($AF17)="Exerzitien",TRIM($AF17)="Wallfahrt",TRIM($AF17)="Arbeitsbefreiung",TRIM($AF17)="AZV",TRIM($AF17)="Betriebsausflug",TRIM($AF17)="Namenstag",TRIM($AF17)="Azubi - Berufsschule",TRIM($AF17)="Azubi - Schriftliche AP",TRIM($AF17)="Azubi - Mündliche AP",TRIM($AF17)="Azubi - Zwischenprüfung",TRIM($AF17)="Azubi - Prüfungsvorbereitung"),0,IF((DAYS360(Grunddaten!$C$25,$C17)/360&gt;=18),IF((($H17+$M17+$R17+$T17)*24)&lt;=6,0,IF(AND((($H17+$M17+$R17+$T17)*24)&gt;6,(($H17+$M17+$R17+$T17)*24)&lt;=9),0.5/24,0.75/24)),IF((($H17+$M17+$R17+$T17)*24)&lt;=4.5,0,IF(AND((($H17+$M17+$R17+$T17)*24)&gt;4.5,(($H17+$M17+$R17+$T17)*24)&lt;=6),0.5/24,1/24)))),5)</f>
        <v>0</v>
      </c>
      <c r="AN17" s="332" t="str">
        <f t="shared" si="9"/>
        <v>R</v>
      </c>
    </row>
    <row r="18" spans="1:40" s="294" customFormat="1" ht="21" customHeight="1" x14ac:dyDescent="0.35">
      <c r="A18" s="331">
        <f t="shared" si="3"/>
        <v>19</v>
      </c>
      <c r="B18" s="283" t="str">
        <f t="shared" si="4"/>
        <v>Sa.</v>
      </c>
      <c r="C18" s="295">
        <f t="shared" si="10"/>
        <v>45787</v>
      </c>
      <c r="D18" s="285" t="str">
        <f t="shared" si="0"/>
        <v/>
      </c>
      <c r="E18" s="286"/>
      <c r="F18" s="286"/>
      <c r="G18" s="286"/>
      <c r="H18" s="287">
        <f>IF(OR(TRIM($AF18)="Krank",TRIM($AF18)="Urlaub",TRIM($AF18)="Exerzitien",TRIM($AF18)="Wallfahrt",TRIM($AF18)="Arbeitsbefreiung",TRIM($AF18)="Azubi - Berufsschule",TRIM($AF18)="Azubi - Schriftliche AP",TRIM($AF18)="Azubi - Mündliche AP",TRIM($AF18)="Azubi - Zwischenprüfung",TRIM($AF18)="Azubi - Prüfungsvorbereitung"),$AA18,IF(TRIM($AF18)="Betriebsausflug",IF($Z18=$AD18,$AA18,$AA18+($Z18-$AD18)*HLOOKUP($D$6,'AZ-Modell'!$C$7:$N$44,18,0)),IF(F18&lt;&gt;"",IF(E18&gt;F18,1-(E18-F18)-G18,F18-E18-G18),0)))</f>
        <v>0</v>
      </c>
      <c r="I18" s="285" t="str">
        <f t="shared" si="5"/>
        <v/>
      </c>
      <c r="J18" s="286"/>
      <c r="K18" s="286"/>
      <c r="L18" s="286"/>
      <c r="M18" s="287">
        <f>IF(OR(TRIM($AF18)="Krank",TRIM($AF18)="Urlaub",TRIM($AF18)="Exerzitien",TRIM($AF18)="Wallfahrt",TRIM($AF18)="Arbeitsbefreiung",TRIM($AF18)="Azubi - Berufsschule",TRIM($AF18)="Azubi - Schriftliche AP",TRIM($AF18)="Azubi - Mündliche AP",TRIM($AF18)="Azubi - Zwischenprüfung",TRIM($AF18)="Azubi - Prüfungsvorbereitung"),$AB18,IF(TRIM($AF18)="Betriebsausflug",IF($Z18=$AD18,$AB18,$AB18+($Z18-$AD18)*HLOOKUP($D$6,'AZ-Modell'!$C$7:$N$44,28,0)),IF(TRIM($AF18)="Namenstag",MAX((4/39)*HLOOKUP($D$6,'AZ-Modell'!$C$7:$N$13,5,0),1/24)+IF(K18&lt;&gt;"",IF(J18&gt;K18,1-(J18-K18)-L18,K18-J18-L18),0),IF(K18&lt;&gt;"",IF(J18&gt;K18,1-(J18-K18)-L18,K18-J18-L18),0))))</f>
        <v>0</v>
      </c>
      <c r="N18" s="285" t="str">
        <f t="shared" si="6"/>
        <v/>
      </c>
      <c r="O18" s="286"/>
      <c r="P18" s="286"/>
      <c r="Q18" s="286"/>
      <c r="R18" s="287">
        <f>IF(OR(TRIM($AF18)="Krank",TRIM($AF18)="Urlaub",TRIM($AF18)="Exerzitien",TRIM($AF18)="Wallfahrt",TRIM($AF18)="Arbeitsbefreiung",TRIM($AF18)="Azubi - Berufsschule",TRIM($AF18)="Azubi - Schriftliche AP",TRIM($AF18)="Azubi - Mündliche AP",TRIM($AF18)="Azubi - Zwischenprüfung",TRIM($AF18)="Azubi - Prüfungsvorbereitung"),$AC18,IF(TRIM($AF18)="Betriebsausflug",IF($Z18=$AD18,$AC18,$AC18+($Z18-$AD18)*HLOOKUP($D$6,'AZ-Modell'!$C$7:$N$44,38,0)),IF(P18&lt;&gt;"",IF(O18&gt;P18,1-(O18-P18)-Q18,P18-O18-Q18),0)))</f>
        <v>0</v>
      </c>
      <c r="S18" s="285"/>
      <c r="T18" s="286"/>
      <c r="U18" s="286"/>
      <c r="V18" s="288">
        <f>ROUNDUP(($T18)*IF($U18&lt;&gt;0,$U18,IF(COUNT($T$9:$T18)&lt;8,20%,25%))*24/5,2)*5/24</f>
        <v>0</v>
      </c>
      <c r="W18" s="285"/>
      <c r="X18" s="289">
        <v>0</v>
      </c>
      <c r="Y18" s="290">
        <f t="shared" si="1"/>
        <v>0</v>
      </c>
      <c r="Z18" s="291">
        <f>IF(OR(TRIM($AF18)="Krank",TRIM($AF18)="Urlaub",TRIM($AF18)="Exerzitien",TRIM($AF18)="Wallfahrt",TRIM($AF18)="Arbeitsbefreiung"),$AD18,IF(OR(TRIM($AF18)="Azubi - Berufsschule",TRIM($AF18)="Azubi - Schriftliche AP",TRIM($AF18)="Azubi - Mündliche AP",TRIM($AF18)="Azubi - Zwischenprüfung",TRIM($AF18)="Azubi - Prüfungsvorbereitung"),VLOOKUP($AF18,Grunddaten!$F$26:$I$31,4,0),IF(TRIM($AF18)="Betriebsausflug",MAX(AD18,(7.8/39)*HLOOKUP($D$6,'AZ-Modell'!$C$7:$N$13,5,0),1/24),IF(AND(OR(TRIM($AF18)="Fortbildung",TRIM($AF18)="Dienstreise"),(+$H18+$M18+$R18+$V18)&lt;$AD18),$AD18,IF(AND(OR(TRIM($AF18)="Fortbildung",TRIM($AF18)="Dienstreise"),$X18&gt;0,(+$H18+$M18+$R18+$V18)&gt;10/24),10/24,$H18+$M18+$R18+$V18)))))</f>
        <v>0</v>
      </c>
      <c r="AA18" s="291">
        <f>IF(AND($C18&gt;=Grunddaten!$C$30,ISERROR(VLOOKUP($C18,Grunddaten!$F$36:$F$59,1,0)),ISERROR(VLOOKUP(TRIM($AF18),Grunddaten!$F$26:$F$26,1,0))),INDEX('AZ-Modell'!$C$16:$N$22,IF(WEEKDAY($C18)=1,7,WEEKDAY($C18)-1),MONTH($C18)),IF(TRIM($AF18)="Dienst (Feiertag)",IFERROR(VLOOKUP($C18,Grunddaten!$F$36:$I$59,4,0),0),0))</f>
        <v>0</v>
      </c>
      <c r="AB18" s="291">
        <f>IF(AND($C18&gt;=Grunddaten!$C$30,ISERROR(VLOOKUP($C18,Grunddaten!$F$36:$F$59,1,0)),ISERROR(VLOOKUP(TRIM($AF18),Grunddaten!$F$26:$F$26,1,0))),INDEX('AZ-Modell'!$C$26:$N$32,IF(WEEKDAY($C18)=1,7,WEEKDAY($C18)-1),MONTH($C18)),IF(TRIM($AF18)="Dienst (Feiertag)",IFERROR(VLOOKUP($C18,Grunddaten!$F$36:$I$59,4,0),0),0))</f>
        <v>0</v>
      </c>
      <c r="AC18" s="291">
        <f>IF(AND($C18&gt;=Grunddaten!$C$30,ISERROR(VLOOKUP($C18,Grunddaten!$F$36:$F$59,1,0)),ISERROR(VLOOKUP(TRIM($AF18),Grunddaten!$F$26:$F$26,1,0))),INDEX('AZ-Modell'!$C$36:$N$42,IF(WEEKDAY($C18)=1,7,WEEKDAY($C18)-1),MONTH($C18)),IF(TRIM($AF18)="Dienst (Feiertag)",IFERROR(VLOOKUP($C18,Grunddaten!$F$36:$I$59,4,0),0),0))</f>
        <v>0</v>
      </c>
      <c r="AD18" s="291">
        <f t="shared" si="7"/>
        <v>0</v>
      </c>
      <c r="AE18" s="290">
        <f t="shared" si="11"/>
        <v>-686.39999999999986</v>
      </c>
      <c r="AF18" s="292" t="str">
        <f>IFERROR(VLOOKUP($C18,Grunddaten!$F$36:$G$59,2,0),"")</f>
        <v/>
      </c>
      <c r="AG18" s="293"/>
      <c r="AH18" s="286">
        <v>0</v>
      </c>
      <c r="AI18" s="291">
        <f t="shared" si="8"/>
        <v>0</v>
      </c>
      <c r="AJ18" s="292"/>
      <c r="AK18" s="291">
        <f>IF(OR(TRIM($AF18)="Krank",TRIM($AF18)="Urlaub",TRIM($AF18)="Exerzitien",TRIM($AF18)="Regenerationstag",TRIM($AF18)="Wallfahrt",TRIM($AF18)="Arbeitsbefreiung",TRIM($AF18)="Umwandlungstag"),$AD18,IF(OR(TRIM($AF18)="Azubi - Berufsschule",TRIM($AF18)="Azubi - Schriftliche AP",TRIM($AF18)="Azubi - Mündliche AP",TRIM($AF18)="Azubi - Zwischenprüfung",TRIM($AF18)="Azubi - Prüfungsvorbereitung"),VLOOKUP($AF18,Grunddaten!$F$26:$I$31,4,0),IF(TRIM($AF18)="Namenstag",MAX((4/39)*HLOOKUP($D$6,'AZ-Modell'!$C$7:$N$13,5,0),1/24)+$H18+$M18+$R18+$V18,IF(TRIM($AF18)="Betriebsausflug",MAX(AD18,(7.8/39)*HLOOKUP($D$6,'AZ-Modell'!$C$7:$N$13,5,0),1/24),$H18+$M18+$R18+$V18))))</f>
        <v>0</v>
      </c>
      <c r="AL18" s="291">
        <f t="shared" si="2"/>
        <v>0</v>
      </c>
      <c r="AM18" s="291">
        <f>ROUND(IF(OR(TRIM($AF18)="Krank",TRIM($AF18)="Urlaub",TRIM($AF18)="Exerzitien",TRIM($AF18)="Wallfahrt",TRIM($AF18)="Arbeitsbefreiung",TRIM($AF18)="AZV",TRIM($AF18)="Betriebsausflug",TRIM($AF18)="Namenstag",TRIM($AF18)="Azubi - Berufsschule",TRIM($AF18)="Azubi - Schriftliche AP",TRIM($AF18)="Azubi - Mündliche AP",TRIM($AF18)="Azubi - Zwischenprüfung",TRIM($AF18)="Azubi - Prüfungsvorbereitung"),0,IF((DAYS360(Grunddaten!$C$25,$C18)/360&gt;=18),IF((($H18+$M18+$R18+$T18)*24)&lt;=6,0,IF(AND((($H18+$M18+$R18+$T18)*24)&gt;6,(($H18+$M18+$R18+$T18)*24)&lt;=9),0.5/24,0.75/24)),IF((($H18+$M18+$R18+$T18)*24)&lt;=4.5,0,IF(AND((($H18+$M18+$R18+$T18)*24)&gt;4.5,(($H18+$M18+$R18+$T18)*24)&lt;=6),0.5/24,1/24)))),5)</f>
        <v>0</v>
      </c>
      <c r="AN18" s="332" t="str">
        <f t="shared" si="9"/>
        <v>R</v>
      </c>
    </row>
    <row r="19" spans="1:40" s="294" customFormat="1" ht="21" customHeight="1" x14ac:dyDescent="0.35">
      <c r="A19" s="331">
        <f t="shared" si="3"/>
        <v>20</v>
      </c>
      <c r="B19" s="283" t="str">
        <f t="shared" si="4"/>
        <v>So.</v>
      </c>
      <c r="C19" s="295">
        <f t="shared" si="10"/>
        <v>45788</v>
      </c>
      <c r="D19" s="285" t="str">
        <f t="shared" si="0"/>
        <v/>
      </c>
      <c r="E19" s="286"/>
      <c r="F19" s="286"/>
      <c r="G19" s="286"/>
      <c r="H19" s="287">
        <f>IF(OR(TRIM($AF19)="Krank",TRIM($AF19)="Urlaub",TRIM($AF19)="Exerzitien",TRIM($AF19)="Wallfahrt",TRIM($AF19)="Arbeitsbefreiung",TRIM($AF19)="Azubi - Berufsschule",TRIM($AF19)="Azubi - Schriftliche AP",TRIM($AF19)="Azubi - Mündliche AP",TRIM($AF19)="Azubi - Zwischenprüfung",TRIM($AF19)="Azubi - Prüfungsvorbereitung"),$AA19,IF(TRIM($AF19)="Betriebsausflug",IF($Z19=$AD19,$AA19,$AA19+($Z19-$AD19)*HLOOKUP($D$6,'AZ-Modell'!$C$7:$N$44,18,0)),IF(F19&lt;&gt;"",IF(E19&gt;F19,1-(E19-F19)-G19,F19-E19-G19),0)))</f>
        <v>0</v>
      </c>
      <c r="I19" s="285" t="str">
        <f t="shared" si="5"/>
        <v/>
      </c>
      <c r="J19" s="286"/>
      <c r="K19" s="286"/>
      <c r="L19" s="286"/>
      <c r="M19" s="287">
        <f>IF(OR(TRIM($AF19)="Krank",TRIM($AF19)="Urlaub",TRIM($AF19)="Exerzitien",TRIM($AF19)="Wallfahrt",TRIM($AF19)="Arbeitsbefreiung",TRIM($AF19)="Azubi - Berufsschule",TRIM($AF19)="Azubi - Schriftliche AP",TRIM($AF19)="Azubi - Mündliche AP",TRIM($AF19)="Azubi - Zwischenprüfung",TRIM($AF19)="Azubi - Prüfungsvorbereitung"),$AB19,IF(TRIM($AF19)="Betriebsausflug",IF($Z19=$AD19,$AB19,$AB19+($Z19-$AD19)*HLOOKUP($D$6,'AZ-Modell'!$C$7:$N$44,28,0)),IF(TRIM($AF19)="Namenstag",MAX((4/39)*HLOOKUP($D$6,'AZ-Modell'!$C$7:$N$13,5,0),1/24)+IF(K19&lt;&gt;"",IF(J19&gt;K19,1-(J19-K19)-L19,K19-J19-L19),0),IF(K19&lt;&gt;"",IF(J19&gt;K19,1-(J19-K19)-L19,K19-J19-L19),0))))</f>
        <v>0</v>
      </c>
      <c r="N19" s="285" t="str">
        <f t="shared" si="6"/>
        <v/>
      </c>
      <c r="O19" s="286"/>
      <c r="P19" s="286"/>
      <c r="Q19" s="286"/>
      <c r="R19" s="287">
        <f>IF(OR(TRIM($AF19)="Krank",TRIM($AF19)="Urlaub",TRIM($AF19)="Exerzitien",TRIM($AF19)="Wallfahrt",TRIM($AF19)="Arbeitsbefreiung",TRIM($AF19)="Azubi - Berufsschule",TRIM($AF19)="Azubi - Schriftliche AP",TRIM($AF19)="Azubi - Mündliche AP",TRIM($AF19)="Azubi - Zwischenprüfung",TRIM($AF19)="Azubi - Prüfungsvorbereitung"),$AC19,IF(TRIM($AF19)="Betriebsausflug",IF($Z19=$AD19,$AC19,$AC19+($Z19-$AD19)*HLOOKUP($D$6,'AZ-Modell'!$C$7:$N$44,38,0)),IF(P19&lt;&gt;"",IF(O19&gt;P19,1-(O19-P19)-Q19,P19-O19-Q19),0)))</f>
        <v>0</v>
      </c>
      <c r="S19" s="285"/>
      <c r="T19" s="286"/>
      <c r="U19" s="286"/>
      <c r="V19" s="288">
        <f>ROUNDUP(($T19)*IF($U19&lt;&gt;0,$U19,IF(COUNT($T$9:$T19)&lt;8,20%,25%))*24/5,2)*5/24</f>
        <v>0</v>
      </c>
      <c r="W19" s="285"/>
      <c r="X19" s="289">
        <v>0</v>
      </c>
      <c r="Y19" s="290">
        <f t="shared" si="1"/>
        <v>0</v>
      </c>
      <c r="Z19" s="291">
        <f>IF(OR(TRIM($AF19)="Krank",TRIM($AF19)="Urlaub",TRIM($AF19)="Exerzitien",TRIM($AF19)="Wallfahrt",TRIM($AF19)="Arbeitsbefreiung"),$AD19,IF(OR(TRIM($AF19)="Azubi - Berufsschule",TRIM($AF19)="Azubi - Schriftliche AP",TRIM($AF19)="Azubi - Mündliche AP",TRIM($AF19)="Azubi - Zwischenprüfung",TRIM($AF19)="Azubi - Prüfungsvorbereitung"),VLOOKUP($AF19,Grunddaten!$F$26:$I$31,4,0),IF(TRIM($AF19)="Betriebsausflug",MAX(AD19,(7.8/39)*HLOOKUP($D$6,'AZ-Modell'!$C$7:$N$13,5,0),1/24),IF(AND(OR(TRIM($AF19)="Fortbildung",TRIM($AF19)="Dienstreise"),(+$H19+$M19+$R19+$V19)&lt;$AD19),$AD19,IF(AND(OR(TRIM($AF19)="Fortbildung",TRIM($AF19)="Dienstreise"),$X19&gt;0,(+$H19+$M19+$R19+$V19)&gt;10/24),10/24,$H19+$M19+$R19+$V19)))))</f>
        <v>0</v>
      </c>
      <c r="AA19" s="291">
        <f>IF(AND($C19&gt;=Grunddaten!$C$30,ISERROR(VLOOKUP($C19,Grunddaten!$F$36:$F$59,1,0)),ISERROR(VLOOKUP(TRIM($AF19),Grunddaten!$F$26:$F$26,1,0))),INDEX('AZ-Modell'!$C$16:$N$22,IF(WEEKDAY($C19)=1,7,WEEKDAY($C19)-1),MONTH($C19)),IF(TRIM($AF19)="Dienst (Feiertag)",IFERROR(VLOOKUP($C19,Grunddaten!$F$36:$I$59,4,0),0),0))</f>
        <v>0</v>
      </c>
      <c r="AB19" s="291">
        <f>IF(AND($C19&gt;=Grunddaten!$C$30,ISERROR(VLOOKUP($C19,Grunddaten!$F$36:$F$59,1,0)),ISERROR(VLOOKUP(TRIM($AF19),Grunddaten!$F$26:$F$26,1,0))),INDEX('AZ-Modell'!$C$26:$N$32,IF(WEEKDAY($C19)=1,7,WEEKDAY($C19)-1),MONTH($C19)),IF(TRIM($AF19)="Dienst (Feiertag)",IFERROR(VLOOKUP($C19,Grunddaten!$F$36:$I$59,4,0),0),0))</f>
        <v>0</v>
      </c>
      <c r="AC19" s="291">
        <f>IF(AND($C19&gt;=Grunddaten!$C$30,ISERROR(VLOOKUP($C19,Grunddaten!$F$36:$F$59,1,0)),ISERROR(VLOOKUP(TRIM($AF19),Grunddaten!$F$26:$F$26,1,0))),INDEX('AZ-Modell'!$C$36:$N$42,IF(WEEKDAY($C19)=1,7,WEEKDAY($C19)-1),MONTH($C19)),IF(TRIM($AF19)="Dienst (Feiertag)",IFERROR(VLOOKUP($C19,Grunddaten!$F$36:$I$59,4,0),0),0))</f>
        <v>0</v>
      </c>
      <c r="AD19" s="291">
        <f t="shared" si="7"/>
        <v>0</v>
      </c>
      <c r="AE19" s="290">
        <f t="shared" si="11"/>
        <v>-686.39999999999986</v>
      </c>
      <c r="AF19" s="292" t="str">
        <f>IFERROR(VLOOKUP($C19,Grunddaten!$F$36:$G$59,2,0),"")</f>
        <v/>
      </c>
      <c r="AG19" s="293"/>
      <c r="AH19" s="286">
        <v>0</v>
      </c>
      <c r="AI19" s="291">
        <f t="shared" si="8"/>
        <v>0</v>
      </c>
      <c r="AJ19" s="292"/>
      <c r="AK19" s="291">
        <f>IF(OR(TRIM($AF19)="Krank",TRIM($AF19)="Urlaub",TRIM($AF19)="Exerzitien",TRIM($AF19)="Regenerationstag",TRIM($AF19)="Wallfahrt",TRIM($AF19)="Arbeitsbefreiung",TRIM($AF19)="Umwandlungstag"),$AD19,IF(OR(TRIM($AF19)="Azubi - Berufsschule",TRIM($AF19)="Azubi - Schriftliche AP",TRIM($AF19)="Azubi - Mündliche AP",TRIM($AF19)="Azubi - Zwischenprüfung",TRIM($AF19)="Azubi - Prüfungsvorbereitung"),VLOOKUP($AF19,Grunddaten!$F$26:$I$31,4,0),IF(TRIM($AF19)="Namenstag",MAX((4/39)*HLOOKUP($D$6,'AZ-Modell'!$C$7:$N$13,5,0),1/24)+$H19+$M19+$R19+$V19,IF(TRIM($AF19)="Betriebsausflug",MAX(AD19,(7.8/39)*HLOOKUP($D$6,'AZ-Modell'!$C$7:$N$13,5,0),1/24),$H19+$M19+$R19+$V19))))</f>
        <v>0</v>
      </c>
      <c r="AL19" s="291">
        <f t="shared" si="2"/>
        <v>0</v>
      </c>
      <c r="AM19" s="291">
        <f>ROUND(IF(OR(TRIM($AF19)="Krank",TRIM($AF19)="Urlaub",TRIM($AF19)="Exerzitien",TRIM($AF19)="Wallfahrt",TRIM($AF19)="Arbeitsbefreiung",TRIM($AF19)="AZV",TRIM($AF19)="Betriebsausflug",TRIM($AF19)="Namenstag",TRIM($AF19)="Azubi - Berufsschule",TRIM($AF19)="Azubi - Schriftliche AP",TRIM($AF19)="Azubi - Mündliche AP",TRIM($AF19)="Azubi - Zwischenprüfung",TRIM($AF19)="Azubi - Prüfungsvorbereitung"),0,IF((DAYS360(Grunddaten!$C$25,$C19)/360&gt;=18),IF((($H19+$M19+$R19+$T19)*24)&lt;=6,0,IF(AND((($H19+$M19+$R19+$T19)*24)&gt;6,(($H19+$M19+$R19+$T19)*24)&lt;=9),0.5/24,0.75/24)),IF((($H19+$M19+$R19+$T19)*24)&lt;=4.5,0,IF(AND((($H19+$M19+$R19+$T19)*24)&gt;4.5,(($H19+$M19+$R19+$T19)*24)&lt;=6),0.5/24,1/24)))),5)</f>
        <v>0</v>
      </c>
      <c r="AN19" s="332" t="str">
        <f t="shared" si="9"/>
        <v>R</v>
      </c>
    </row>
    <row r="20" spans="1:40" s="294" customFormat="1" ht="21" customHeight="1" x14ac:dyDescent="0.35">
      <c r="A20" s="331">
        <f t="shared" si="3"/>
        <v>20</v>
      </c>
      <c r="B20" s="283" t="str">
        <f t="shared" si="4"/>
        <v>Mo.</v>
      </c>
      <c r="C20" s="295">
        <f t="shared" si="10"/>
        <v>45789</v>
      </c>
      <c r="D20" s="285" t="str">
        <f t="shared" si="0"/>
        <v/>
      </c>
      <c r="E20" s="286"/>
      <c r="F20" s="286"/>
      <c r="G20" s="286"/>
      <c r="H20" s="287">
        <f>IF(OR(TRIM($AF20)="Krank",TRIM($AF20)="Urlaub",TRIM($AF20)="Exerzitien",TRIM($AF20)="Wallfahrt",TRIM($AF20)="Arbeitsbefreiung",TRIM($AF20)="Azubi - Berufsschule",TRIM($AF20)="Azubi - Schriftliche AP",TRIM($AF20)="Azubi - Mündliche AP",TRIM($AF20)="Azubi - Zwischenprüfung",TRIM($AF20)="Azubi - Prüfungsvorbereitung"),$AA20,IF(TRIM($AF20)="Betriebsausflug",IF($Z20=$AD20,$AA20,$AA20+($Z20-$AD20)*HLOOKUP($D$6,'AZ-Modell'!$C$7:$N$44,18,0)),IF(F20&lt;&gt;"",IF(E20&gt;F20,1-(E20-F20)-G20,F20-E20-G20),0)))</f>
        <v>0</v>
      </c>
      <c r="I20" s="285" t="str">
        <f t="shared" si="5"/>
        <v/>
      </c>
      <c r="J20" s="286"/>
      <c r="K20" s="286"/>
      <c r="L20" s="286"/>
      <c r="M20" s="287">
        <f>IF(OR(TRIM($AF20)="Krank",TRIM($AF20)="Urlaub",TRIM($AF20)="Exerzitien",TRIM($AF20)="Wallfahrt",TRIM($AF20)="Arbeitsbefreiung",TRIM($AF20)="Azubi - Berufsschule",TRIM($AF20)="Azubi - Schriftliche AP",TRIM($AF20)="Azubi - Mündliche AP",TRIM($AF20)="Azubi - Zwischenprüfung",TRIM($AF20)="Azubi - Prüfungsvorbereitung"),$AB20,IF(TRIM($AF20)="Betriebsausflug",IF($Z20=$AD20,$AB20,$AB20+($Z20-$AD20)*HLOOKUP($D$6,'AZ-Modell'!$C$7:$N$44,28,0)),IF(TRIM($AF20)="Namenstag",MAX((4/39)*HLOOKUP($D$6,'AZ-Modell'!$C$7:$N$13,5,0),1/24)+IF(K20&lt;&gt;"",IF(J20&gt;K20,1-(J20-K20)-L20,K20-J20-L20),0),IF(K20&lt;&gt;"",IF(J20&gt;K20,1-(J20-K20)-L20,K20-J20-L20),0))))</f>
        <v>0</v>
      </c>
      <c r="N20" s="285" t="str">
        <f t="shared" si="6"/>
        <v/>
      </c>
      <c r="O20" s="286"/>
      <c r="P20" s="286"/>
      <c r="Q20" s="286"/>
      <c r="R20" s="287">
        <f>IF(OR(TRIM($AF20)="Krank",TRIM($AF20)="Urlaub",TRIM($AF20)="Exerzitien",TRIM($AF20)="Wallfahrt",TRIM($AF20)="Arbeitsbefreiung",TRIM($AF20)="Azubi - Berufsschule",TRIM($AF20)="Azubi - Schriftliche AP",TRIM($AF20)="Azubi - Mündliche AP",TRIM($AF20)="Azubi - Zwischenprüfung",TRIM($AF20)="Azubi - Prüfungsvorbereitung"),$AC20,IF(TRIM($AF20)="Betriebsausflug",IF($Z20=$AD20,$AC20,$AC20+($Z20-$AD20)*HLOOKUP($D$6,'AZ-Modell'!$C$7:$N$44,38,0)),IF(P20&lt;&gt;"",IF(O20&gt;P20,1-(O20-P20)-Q20,P20-O20-Q20),0)))</f>
        <v>0</v>
      </c>
      <c r="S20" s="285"/>
      <c r="T20" s="286"/>
      <c r="U20" s="286"/>
      <c r="V20" s="288">
        <f>ROUNDUP(($T20)*IF($U20&lt;&gt;0,$U20,IF(COUNT($T$9:$T20)&lt;8,20%,25%))*24/5,2)*5/24</f>
        <v>0</v>
      </c>
      <c r="W20" s="285"/>
      <c r="X20" s="289">
        <v>0</v>
      </c>
      <c r="Y20" s="290">
        <f t="shared" si="1"/>
        <v>0</v>
      </c>
      <c r="Z20" s="291">
        <f>IF(OR(TRIM($AF20)="Krank",TRIM($AF20)="Urlaub",TRIM($AF20)="Exerzitien",TRIM($AF20)="Wallfahrt",TRIM($AF20)="Arbeitsbefreiung"),$AD20,IF(OR(TRIM($AF20)="Azubi - Berufsschule",TRIM($AF20)="Azubi - Schriftliche AP",TRIM($AF20)="Azubi - Mündliche AP",TRIM($AF20)="Azubi - Zwischenprüfung",TRIM($AF20)="Azubi - Prüfungsvorbereitung"),VLOOKUP($AF20,Grunddaten!$F$26:$I$31,4,0),IF(TRIM($AF20)="Betriebsausflug",MAX(AD20,(7.8/39)*HLOOKUP($D$6,'AZ-Modell'!$C$7:$N$13,5,0),1/24),IF(AND(OR(TRIM($AF20)="Fortbildung",TRIM($AF20)="Dienstreise"),(+$H20+$M20+$R20+$V20)&lt;$AD20),$AD20,IF(AND(OR(TRIM($AF20)="Fortbildung",TRIM($AF20)="Dienstreise"),$X20&gt;0,(+$H20+$M20+$R20+$V20)&gt;10/24),10/24,$H20+$M20+$R20+$V20)))))</f>
        <v>0</v>
      </c>
      <c r="AA20" s="291">
        <f>IF(AND($C20&gt;=Grunddaten!$C$30,ISERROR(VLOOKUP($C20,Grunddaten!$F$36:$F$59,1,0)),ISERROR(VLOOKUP(TRIM($AF20),Grunddaten!$F$26:$F$26,1,0))),INDEX('AZ-Modell'!$C$16:$N$22,IF(WEEKDAY($C20)=1,7,WEEKDAY($C20)-1),MONTH($C20)),IF(TRIM($AF20)="Dienst (Feiertag)",IFERROR(VLOOKUP($C20,Grunddaten!$F$36:$I$59,4,0),0),0))</f>
        <v>0.32500000000000001</v>
      </c>
      <c r="AB20" s="291">
        <f>IF(AND($C20&gt;=Grunddaten!$C$30,ISERROR(VLOOKUP($C20,Grunddaten!$F$36:$F$59,1,0)),ISERROR(VLOOKUP(TRIM($AF20),Grunddaten!$F$26:$F$26,1,0))),INDEX('AZ-Modell'!$C$26:$N$32,IF(WEEKDAY($C20)=1,7,WEEKDAY($C20)-1),MONTH($C20)),IF(TRIM($AF20)="Dienst (Feiertag)",IFERROR(VLOOKUP($C20,Grunddaten!$F$36:$I$59,4,0),0),0))</f>
        <v>0</v>
      </c>
      <c r="AC20" s="291">
        <f>IF(AND($C20&gt;=Grunddaten!$C$30,ISERROR(VLOOKUP($C20,Grunddaten!$F$36:$F$59,1,0)),ISERROR(VLOOKUP(TRIM($AF20),Grunddaten!$F$26:$F$26,1,0))),INDEX('AZ-Modell'!$C$36:$N$42,IF(WEEKDAY($C20)=1,7,WEEKDAY($C20)-1),MONTH($C20)),IF(TRIM($AF20)="Dienst (Feiertag)",IFERROR(VLOOKUP($C20,Grunddaten!$F$36:$I$59,4,0),0),0))</f>
        <v>0</v>
      </c>
      <c r="AD20" s="291">
        <f t="shared" si="7"/>
        <v>0.32500000000000001</v>
      </c>
      <c r="AE20" s="290">
        <f t="shared" si="11"/>
        <v>-694.19999999999982</v>
      </c>
      <c r="AF20" s="292" t="str">
        <f>IFERROR(VLOOKUP($C20,Grunddaten!$F$36:$G$59,2,0),"")</f>
        <v/>
      </c>
      <c r="AG20" s="293"/>
      <c r="AH20" s="286">
        <v>0</v>
      </c>
      <c r="AI20" s="291">
        <f t="shared" si="8"/>
        <v>0</v>
      </c>
      <c r="AJ20" s="292"/>
      <c r="AK20" s="291">
        <f>IF(OR(TRIM($AF20)="Krank",TRIM($AF20)="Urlaub",TRIM($AF20)="Exerzitien",TRIM($AF20)="Regenerationstag",TRIM($AF20)="Wallfahrt",TRIM($AF20)="Arbeitsbefreiung",TRIM($AF20)="Umwandlungstag"),$AD20,IF(OR(TRIM($AF20)="Azubi - Berufsschule",TRIM($AF20)="Azubi - Schriftliche AP",TRIM($AF20)="Azubi - Mündliche AP",TRIM($AF20)="Azubi - Zwischenprüfung",TRIM($AF20)="Azubi - Prüfungsvorbereitung"),VLOOKUP($AF20,Grunddaten!$F$26:$I$31,4,0),IF(TRIM($AF20)="Namenstag",MAX((4/39)*HLOOKUP($D$6,'AZ-Modell'!$C$7:$N$13,5,0),1/24)+$H20+$M20+$R20+$V20,IF(TRIM($AF20)="Betriebsausflug",MAX(AD20,(7.8/39)*HLOOKUP($D$6,'AZ-Modell'!$C$7:$N$13,5,0),1/24),$H20+$M20+$R20+$V20))))</f>
        <v>0</v>
      </c>
      <c r="AL20" s="291">
        <f t="shared" si="2"/>
        <v>0</v>
      </c>
      <c r="AM20" s="291">
        <f>ROUND(IF(OR(TRIM($AF20)="Krank",TRIM($AF20)="Urlaub",TRIM($AF20)="Exerzitien",TRIM($AF20)="Wallfahrt",TRIM($AF20)="Arbeitsbefreiung",TRIM($AF20)="AZV",TRIM($AF20)="Betriebsausflug",TRIM($AF20)="Namenstag",TRIM($AF20)="Azubi - Berufsschule",TRIM($AF20)="Azubi - Schriftliche AP",TRIM($AF20)="Azubi - Mündliche AP",TRIM($AF20)="Azubi - Zwischenprüfung",TRIM($AF20)="Azubi - Prüfungsvorbereitung"),0,IF((DAYS360(Grunddaten!$C$25,$C20)/360&gt;=18),IF((($H20+$M20+$R20+$T20)*24)&lt;=6,0,IF(AND((($H20+$M20+$R20+$T20)*24)&gt;6,(($H20+$M20+$R20+$T20)*24)&lt;=9),0.5/24,0.75/24)),IF((($H20+$M20+$R20+$T20)*24)&lt;=4.5,0,IF(AND((($H20+$M20+$R20+$T20)*24)&gt;4.5,(($H20+$M20+$R20+$T20)*24)&lt;=6),0.5/24,1/24)))),5)</f>
        <v>0</v>
      </c>
      <c r="AN20" s="332" t="str">
        <f t="shared" si="9"/>
        <v>R</v>
      </c>
    </row>
    <row r="21" spans="1:40" s="294" customFormat="1" ht="21" customHeight="1" x14ac:dyDescent="0.35">
      <c r="A21" s="331">
        <f t="shared" si="3"/>
        <v>20</v>
      </c>
      <c r="B21" s="283" t="str">
        <f t="shared" si="4"/>
        <v>Di.</v>
      </c>
      <c r="C21" s="295">
        <f t="shared" si="10"/>
        <v>45790</v>
      </c>
      <c r="D21" s="285" t="str">
        <f t="shared" si="0"/>
        <v/>
      </c>
      <c r="E21" s="286"/>
      <c r="F21" s="286"/>
      <c r="G21" s="286"/>
      <c r="H21" s="287">
        <f>IF(OR(TRIM($AF21)="Krank",TRIM($AF21)="Urlaub",TRIM($AF21)="Exerzitien",TRIM($AF21)="Wallfahrt",TRIM($AF21)="Arbeitsbefreiung",TRIM($AF21)="Azubi - Berufsschule",TRIM($AF21)="Azubi - Schriftliche AP",TRIM($AF21)="Azubi - Mündliche AP",TRIM($AF21)="Azubi - Zwischenprüfung",TRIM($AF21)="Azubi - Prüfungsvorbereitung"),$AA21,IF(TRIM($AF21)="Betriebsausflug",IF($Z21=$AD21,$AA21,$AA21+($Z21-$AD21)*HLOOKUP($D$6,'AZ-Modell'!$C$7:$N$44,18,0)),IF(F21&lt;&gt;"",IF(E21&gt;F21,1-(E21-F21)-G21,F21-E21-G21),0)))</f>
        <v>0</v>
      </c>
      <c r="I21" s="285" t="str">
        <f t="shared" si="5"/>
        <v/>
      </c>
      <c r="J21" s="286"/>
      <c r="K21" s="286"/>
      <c r="L21" s="286"/>
      <c r="M21" s="287">
        <f>IF(OR(TRIM($AF21)="Krank",TRIM($AF21)="Urlaub",TRIM($AF21)="Exerzitien",TRIM($AF21)="Wallfahrt",TRIM($AF21)="Arbeitsbefreiung",TRIM($AF21)="Azubi - Berufsschule",TRIM($AF21)="Azubi - Schriftliche AP",TRIM($AF21)="Azubi - Mündliche AP",TRIM($AF21)="Azubi - Zwischenprüfung",TRIM($AF21)="Azubi - Prüfungsvorbereitung"),$AB21,IF(TRIM($AF21)="Betriebsausflug",IF($Z21=$AD21,$AB21,$AB21+($Z21-$AD21)*HLOOKUP($D$6,'AZ-Modell'!$C$7:$N$44,28,0)),IF(TRIM($AF21)="Namenstag",MAX((4/39)*HLOOKUP($D$6,'AZ-Modell'!$C$7:$N$13,5,0),1/24)+IF(K21&lt;&gt;"",IF(J21&gt;K21,1-(J21-K21)-L21,K21-J21-L21),0),IF(K21&lt;&gt;"",IF(J21&gt;K21,1-(J21-K21)-L21,K21-J21-L21),0))))</f>
        <v>0</v>
      </c>
      <c r="N21" s="285" t="str">
        <f t="shared" si="6"/>
        <v/>
      </c>
      <c r="O21" s="286"/>
      <c r="P21" s="286"/>
      <c r="Q21" s="286"/>
      <c r="R21" s="287">
        <f>IF(OR(TRIM($AF21)="Krank",TRIM($AF21)="Urlaub",TRIM($AF21)="Exerzitien",TRIM($AF21)="Wallfahrt",TRIM($AF21)="Arbeitsbefreiung",TRIM($AF21)="Azubi - Berufsschule",TRIM($AF21)="Azubi - Schriftliche AP",TRIM($AF21)="Azubi - Mündliche AP",TRIM($AF21)="Azubi - Zwischenprüfung",TRIM($AF21)="Azubi - Prüfungsvorbereitung"),$AC21,IF(TRIM($AF21)="Betriebsausflug",IF($Z21=$AD21,$AC21,$AC21+($Z21-$AD21)*HLOOKUP($D$6,'AZ-Modell'!$C$7:$N$44,38,0)),IF(P21&lt;&gt;"",IF(O21&gt;P21,1-(O21-P21)-Q21,P21-O21-Q21),0)))</f>
        <v>0</v>
      </c>
      <c r="S21" s="285"/>
      <c r="T21" s="286"/>
      <c r="U21" s="286"/>
      <c r="V21" s="288">
        <f>ROUNDUP(($T21)*IF($U21&lt;&gt;0,$U21,IF(COUNT($T$9:$T21)&lt;8,20%,25%))*24/5,2)*5/24</f>
        <v>0</v>
      </c>
      <c r="W21" s="285"/>
      <c r="X21" s="289">
        <v>0</v>
      </c>
      <c r="Y21" s="290">
        <f t="shared" si="1"/>
        <v>0</v>
      </c>
      <c r="Z21" s="291">
        <f>IF(OR(TRIM($AF21)="Krank",TRIM($AF21)="Urlaub",TRIM($AF21)="Exerzitien",TRIM($AF21)="Wallfahrt",TRIM($AF21)="Arbeitsbefreiung"),$AD21,IF(OR(TRIM($AF21)="Azubi - Berufsschule",TRIM($AF21)="Azubi - Schriftliche AP",TRIM($AF21)="Azubi - Mündliche AP",TRIM($AF21)="Azubi - Zwischenprüfung",TRIM($AF21)="Azubi - Prüfungsvorbereitung"),VLOOKUP($AF21,Grunddaten!$F$26:$I$31,4,0),IF(TRIM($AF21)="Betriebsausflug",MAX(AD21,(7.8/39)*HLOOKUP($D$6,'AZ-Modell'!$C$7:$N$13,5,0),1/24),IF(AND(OR(TRIM($AF21)="Fortbildung",TRIM($AF21)="Dienstreise"),(+$H21+$M21+$R21+$V21)&lt;$AD21),$AD21,IF(AND(OR(TRIM($AF21)="Fortbildung",TRIM($AF21)="Dienstreise"),$X21&gt;0,(+$H21+$M21+$R21+$V21)&gt;10/24),10/24,$H21+$M21+$R21+$V21)))))</f>
        <v>0</v>
      </c>
      <c r="AA21" s="291">
        <f>IF(AND($C21&gt;=Grunddaten!$C$30,ISERROR(VLOOKUP($C21,Grunddaten!$F$36:$F$59,1,0)),ISERROR(VLOOKUP(TRIM($AF21),Grunddaten!$F$26:$F$26,1,0))),INDEX('AZ-Modell'!$C$16:$N$22,IF(WEEKDAY($C21)=1,7,WEEKDAY($C21)-1),MONTH($C21)),IF(TRIM($AF21)="Dienst (Feiertag)",IFERROR(VLOOKUP($C21,Grunddaten!$F$36:$I$59,4,0),0),0))</f>
        <v>0.32500000000000001</v>
      </c>
      <c r="AB21" s="291">
        <f>IF(AND($C21&gt;=Grunddaten!$C$30,ISERROR(VLOOKUP($C21,Grunddaten!$F$36:$F$59,1,0)),ISERROR(VLOOKUP(TRIM($AF21),Grunddaten!$F$26:$F$26,1,0))),INDEX('AZ-Modell'!$C$26:$N$32,IF(WEEKDAY($C21)=1,7,WEEKDAY($C21)-1),MONTH($C21)),IF(TRIM($AF21)="Dienst (Feiertag)",IFERROR(VLOOKUP($C21,Grunddaten!$F$36:$I$59,4,0),0),0))</f>
        <v>0</v>
      </c>
      <c r="AC21" s="291">
        <f>IF(AND($C21&gt;=Grunddaten!$C$30,ISERROR(VLOOKUP($C21,Grunddaten!$F$36:$F$59,1,0)),ISERROR(VLOOKUP(TRIM($AF21),Grunddaten!$F$26:$F$26,1,0))),INDEX('AZ-Modell'!$C$36:$N$42,IF(WEEKDAY($C21)=1,7,WEEKDAY($C21)-1),MONTH($C21)),IF(TRIM($AF21)="Dienst (Feiertag)",IFERROR(VLOOKUP($C21,Grunddaten!$F$36:$I$59,4,0),0),0))</f>
        <v>0</v>
      </c>
      <c r="AD21" s="291">
        <f t="shared" si="7"/>
        <v>0.32500000000000001</v>
      </c>
      <c r="AE21" s="290">
        <f t="shared" si="11"/>
        <v>-701.99999999999977</v>
      </c>
      <c r="AF21" s="292" t="str">
        <f>IFERROR(VLOOKUP($C21,Grunddaten!$F$36:$G$59,2,0),"")</f>
        <v/>
      </c>
      <c r="AG21" s="293"/>
      <c r="AH21" s="286">
        <v>0</v>
      </c>
      <c r="AI21" s="291">
        <f t="shared" si="8"/>
        <v>0</v>
      </c>
      <c r="AJ21" s="292"/>
      <c r="AK21" s="291">
        <f>IF(OR(TRIM($AF21)="Krank",TRIM($AF21)="Urlaub",TRIM($AF21)="Exerzitien",TRIM($AF21)="Regenerationstag",TRIM($AF21)="Wallfahrt",TRIM($AF21)="Arbeitsbefreiung",TRIM($AF21)="Umwandlungstag"),$AD21,IF(OR(TRIM($AF21)="Azubi - Berufsschule",TRIM($AF21)="Azubi - Schriftliche AP",TRIM($AF21)="Azubi - Mündliche AP",TRIM($AF21)="Azubi - Zwischenprüfung",TRIM($AF21)="Azubi - Prüfungsvorbereitung"),VLOOKUP($AF21,Grunddaten!$F$26:$I$31,4,0),IF(TRIM($AF21)="Namenstag",MAX((4/39)*HLOOKUP($D$6,'AZ-Modell'!$C$7:$N$13,5,0),1/24)+$H21+$M21+$R21+$V21,IF(TRIM($AF21)="Betriebsausflug",MAX(AD21,(7.8/39)*HLOOKUP($D$6,'AZ-Modell'!$C$7:$N$13,5,0),1/24),$H21+$M21+$R21+$V21))))</f>
        <v>0</v>
      </c>
      <c r="AL21" s="291">
        <f t="shared" si="2"/>
        <v>0</v>
      </c>
      <c r="AM21" s="291">
        <f>ROUND(IF(OR(TRIM($AF21)="Krank",TRIM($AF21)="Urlaub",TRIM($AF21)="Exerzitien",TRIM($AF21)="Wallfahrt",TRIM($AF21)="Arbeitsbefreiung",TRIM($AF21)="AZV",TRIM($AF21)="Betriebsausflug",TRIM($AF21)="Namenstag",TRIM($AF21)="Azubi - Berufsschule",TRIM($AF21)="Azubi - Schriftliche AP",TRIM($AF21)="Azubi - Mündliche AP",TRIM($AF21)="Azubi - Zwischenprüfung",TRIM($AF21)="Azubi - Prüfungsvorbereitung"),0,IF((DAYS360(Grunddaten!$C$25,$C21)/360&gt;=18),IF((($H21+$M21+$R21+$T21)*24)&lt;=6,0,IF(AND((($H21+$M21+$R21+$T21)*24)&gt;6,(($H21+$M21+$R21+$T21)*24)&lt;=9),0.5/24,0.75/24)),IF((($H21+$M21+$R21+$T21)*24)&lt;=4.5,0,IF(AND((($H21+$M21+$R21+$T21)*24)&gt;4.5,(($H21+$M21+$R21+$T21)*24)&lt;=6),0.5/24,1/24)))),5)</f>
        <v>0</v>
      </c>
      <c r="AN21" s="332" t="str">
        <f t="shared" si="9"/>
        <v>R</v>
      </c>
    </row>
    <row r="22" spans="1:40" s="294" customFormat="1" ht="21" customHeight="1" x14ac:dyDescent="0.35">
      <c r="A22" s="331">
        <f t="shared" si="3"/>
        <v>20</v>
      </c>
      <c r="B22" s="283" t="str">
        <f t="shared" si="4"/>
        <v>Mi.</v>
      </c>
      <c r="C22" s="295">
        <f t="shared" si="10"/>
        <v>45791</v>
      </c>
      <c r="D22" s="285" t="str">
        <f t="shared" si="0"/>
        <v/>
      </c>
      <c r="E22" s="286"/>
      <c r="F22" s="286"/>
      <c r="G22" s="286"/>
      <c r="H22" s="287">
        <f>IF(OR(TRIM($AF22)="Krank",TRIM($AF22)="Urlaub",TRIM($AF22)="Exerzitien",TRIM($AF22)="Wallfahrt",TRIM($AF22)="Arbeitsbefreiung",TRIM($AF22)="Azubi - Berufsschule",TRIM($AF22)="Azubi - Schriftliche AP",TRIM($AF22)="Azubi - Mündliche AP",TRIM($AF22)="Azubi - Zwischenprüfung",TRIM($AF22)="Azubi - Prüfungsvorbereitung"),$AA22,IF(TRIM($AF22)="Betriebsausflug",IF($Z22=$AD22,$AA22,$AA22+($Z22-$AD22)*HLOOKUP($D$6,'AZ-Modell'!$C$7:$N$44,18,0)),IF(F22&lt;&gt;"",IF(E22&gt;F22,1-(E22-F22)-G22,F22-E22-G22),0)))</f>
        <v>0</v>
      </c>
      <c r="I22" s="285" t="str">
        <f t="shared" si="5"/>
        <v/>
      </c>
      <c r="J22" s="286"/>
      <c r="K22" s="286"/>
      <c r="L22" s="286"/>
      <c r="M22" s="287">
        <f>IF(OR(TRIM($AF22)="Krank",TRIM($AF22)="Urlaub",TRIM($AF22)="Exerzitien",TRIM($AF22)="Wallfahrt",TRIM($AF22)="Arbeitsbefreiung",TRIM($AF22)="Azubi - Berufsschule",TRIM($AF22)="Azubi - Schriftliche AP",TRIM($AF22)="Azubi - Mündliche AP",TRIM($AF22)="Azubi - Zwischenprüfung",TRIM($AF22)="Azubi - Prüfungsvorbereitung"),$AB22,IF(TRIM($AF22)="Betriebsausflug",IF($Z22=$AD22,$AB22,$AB22+($Z22-$AD22)*HLOOKUP($D$6,'AZ-Modell'!$C$7:$N$44,28,0)),IF(TRIM($AF22)="Namenstag",MAX((4/39)*HLOOKUP($D$6,'AZ-Modell'!$C$7:$N$13,5,0),1/24)+IF(K22&lt;&gt;"",IF(J22&gt;K22,1-(J22-K22)-L22,K22-J22-L22),0),IF(K22&lt;&gt;"",IF(J22&gt;K22,1-(J22-K22)-L22,K22-J22-L22),0))))</f>
        <v>0</v>
      </c>
      <c r="N22" s="285" t="str">
        <f t="shared" si="6"/>
        <v/>
      </c>
      <c r="O22" s="286"/>
      <c r="P22" s="286"/>
      <c r="Q22" s="286"/>
      <c r="R22" s="287">
        <f>IF(OR(TRIM($AF22)="Krank",TRIM($AF22)="Urlaub",TRIM($AF22)="Exerzitien",TRIM($AF22)="Wallfahrt",TRIM($AF22)="Arbeitsbefreiung",TRIM($AF22)="Azubi - Berufsschule",TRIM($AF22)="Azubi - Schriftliche AP",TRIM($AF22)="Azubi - Mündliche AP",TRIM($AF22)="Azubi - Zwischenprüfung",TRIM($AF22)="Azubi - Prüfungsvorbereitung"),$AC22,IF(TRIM($AF22)="Betriebsausflug",IF($Z22=$AD22,$AC22,$AC22+($Z22-$AD22)*HLOOKUP($D$6,'AZ-Modell'!$C$7:$N$44,38,0)),IF(P22&lt;&gt;"",IF(O22&gt;P22,1-(O22-P22)-Q22,P22-O22-Q22),0)))</f>
        <v>0</v>
      </c>
      <c r="S22" s="285"/>
      <c r="T22" s="286"/>
      <c r="U22" s="286"/>
      <c r="V22" s="288">
        <f>ROUNDUP(($T22)*IF($U22&lt;&gt;0,$U22,IF(COUNT($T$9:$T22)&lt;8,20%,25%))*24/5,2)*5/24</f>
        <v>0</v>
      </c>
      <c r="W22" s="285"/>
      <c r="X22" s="289">
        <v>0</v>
      </c>
      <c r="Y22" s="290">
        <f t="shared" si="1"/>
        <v>0</v>
      </c>
      <c r="Z22" s="291">
        <f>IF(OR(TRIM($AF22)="Krank",TRIM($AF22)="Urlaub",TRIM($AF22)="Exerzitien",TRIM($AF22)="Wallfahrt",TRIM($AF22)="Arbeitsbefreiung"),$AD22,IF(OR(TRIM($AF22)="Azubi - Berufsschule",TRIM($AF22)="Azubi - Schriftliche AP",TRIM($AF22)="Azubi - Mündliche AP",TRIM($AF22)="Azubi - Zwischenprüfung",TRIM($AF22)="Azubi - Prüfungsvorbereitung"),VLOOKUP($AF22,Grunddaten!$F$26:$I$31,4,0),IF(TRIM($AF22)="Betriebsausflug",MAX(AD22,(7.8/39)*HLOOKUP($D$6,'AZ-Modell'!$C$7:$N$13,5,0),1/24),IF(AND(OR(TRIM($AF22)="Fortbildung",TRIM($AF22)="Dienstreise"),(+$H22+$M22+$R22+$V22)&lt;$AD22),$AD22,IF(AND(OR(TRIM($AF22)="Fortbildung",TRIM($AF22)="Dienstreise"),$X22&gt;0,(+$H22+$M22+$R22+$V22)&gt;10/24),10/24,$H22+$M22+$R22+$V22)))))</f>
        <v>0</v>
      </c>
      <c r="AA22" s="291">
        <f>IF(AND($C22&gt;=Grunddaten!$C$30,ISERROR(VLOOKUP($C22,Grunddaten!$F$36:$F$59,1,0)),ISERROR(VLOOKUP(TRIM($AF22),Grunddaten!$F$26:$F$26,1,0))),INDEX('AZ-Modell'!$C$16:$N$22,IF(WEEKDAY($C22)=1,7,WEEKDAY($C22)-1),MONTH($C22)),IF(TRIM($AF22)="Dienst (Feiertag)",IFERROR(VLOOKUP($C22,Grunddaten!$F$36:$I$59,4,0),0),0))</f>
        <v>0.32500000000000001</v>
      </c>
      <c r="AB22" s="291">
        <f>IF(AND($C22&gt;=Grunddaten!$C$30,ISERROR(VLOOKUP($C22,Grunddaten!$F$36:$F$59,1,0)),ISERROR(VLOOKUP(TRIM($AF22),Grunddaten!$F$26:$F$26,1,0))),INDEX('AZ-Modell'!$C$26:$N$32,IF(WEEKDAY($C22)=1,7,WEEKDAY($C22)-1),MONTH($C22)),IF(TRIM($AF22)="Dienst (Feiertag)",IFERROR(VLOOKUP($C22,Grunddaten!$F$36:$I$59,4,0),0),0))</f>
        <v>0</v>
      </c>
      <c r="AC22" s="291">
        <f>IF(AND($C22&gt;=Grunddaten!$C$30,ISERROR(VLOOKUP($C22,Grunddaten!$F$36:$F$59,1,0)),ISERROR(VLOOKUP(TRIM($AF22),Grunddaten!$F$26:$F$26,1,0))),INDEX('AZ-Modell'!$C$36:$N$42,IF(WEEKDAY($C22)=1,7,WEEKDAY($C22)-1),MONTH($C22)),IF(TRIM($AF22)="Dienst (Feiertag)",IFERROR(VLOOKUP($C22,Grunddaten!$F$36:$I$59,4,0),0),0))</f>
        <v>0</v>
      </c>
      <c r="AD22" s="291">
        <f t="shared" si="7"/>
        <v>0.32500000000000001</v>
      </c>
      <c r="AE22" s="290">
        <f t="shared" si="11"/>
        <v>-709.79999999999973</v>
      </c>
      <c r="AF22" s="292" t="str">
        <f>IFERROR(VLOOKUP($C22,Grunddaten!$F$36:$G$59,2,0),"")</f>
        <v/>
      </c>
      <c r="AG22" s="293"/>
      <c r="AH22" s="286">
        <v>0</v>
      </c>
      <c r="AI22" s="291">
        <f t="shared" si="8"/>
        <v>0</v>
      </c>
      <c r="AJ22" s="292"/>
      <c r="AK22" s="291">
        <f>IF(OR(TRIM($AF22)="Krank",TRIM($AF22)="Urlaub",TRIM($AF22)="Exerzitien",TRIM($AF22)="Regenerationstag",TRIM($AF22)="Wallfahrt",TRIM($AF22)="Arbeitsbefreiung",TRIM($AF22)="Umwandlungstag"),$AD22,IF(OR(TRIM($AF22)="Azubi - Berufsschule",TRIM($AF22)="Azubi - Schriftliche AP",TRIM($AF22)="Azubi - Mündliche AP",TRIM($AF22)="Azubi - Zwischenprüfung",TRIM($AF22)="Azubi - Prüfungsvorbereitung"),VLOOKUP($AF22,Grunddaten!$F$26:$I$31,4,0),IF(TRIM($AF22)="Namenstag",MAX((4/39)*HLOOKUP($D$6,'AZ-Modell'!$C$7:$N$13,5,0),1/24)+$H22+$M22+$R22+$V22,IF(TRIM($AF22)="Betriebsausflug",MAX(AD22,(7.8/39)*HLOOKUP($D$6,'AZ-Modell'!$C$7:$N$13,5,0),1/24),$H22+$M22+$R22+$V22))))</f>
        <v>0</v>
      </c>
      <c r="AL22" s="291">
        <f t="shared" si="2"/>
        <v>0</v>
      </c>
      <c r="AM22" s="291">
        <f>ROUND(IF(OR(TRIM($AF22)="Krank",TRIM($AF22)="Urlaub",TRIM($AF22)="Exerzitien",TRIM($AF22)="Wallfahrt",TRIM($AF22)="Arbeitsbefreiung",TRIM($AF22)="AZV",TRIM($AF22)="Betriebsausflug",TRIM($AF22)="Namenstag",TRIM($AF22)="Azubi - Berufsschule",TRIM($AF22)="Azubi - Schriftliche AP",TRIM($AF22)="Azubi - Mündliche AP",TRIM($AF22)="Azubi - Zwischenprüfung",TRIM($AF22)="Azubi - Prüfungsvorbereitung"),0,IF((DAYS360(Grunddaten!$C$25,$C22)/360&gt;=18),IF((($H22+$M22+$R22+$T22)*24)&lt;=6,0,IF(AND((($H22+$M22+$R22+$T22)*24)&gt;6,(($H22+$M22+$R22+$T22)*24)&lt;=9),0.5/24,0.75/24)),IF((($H22+$M22+$R22+$T22)*24)&lt;=4.5,0,IF(AND((($H22+$M22+$R22+$T22)*24)&gt;4.5,(($H22+$M22+$R22+$T22)*24)&lt;=6),0.5/24,1/24)))),5)</f>
        <v>0</v>
      </c>
      <c r="AN22" s="332" t="str">
        <f t="shared" si="9"/>
        <v>R</v>
      </c>
    </row>
    <row r="23" spans="1:40" s="294" customFormat="1" ht="21" customHeight="1" x14ac:dyDescent="0.35">
      <c r="A23" s="331">
        <f t="shared" si="3"/>
        <v>20</v>
      </c>
      <c r="B23" s="283" t="str">
        <f t="shared" si="4"/>
        <v>Do.</v>
      </c>
      <c r="C23" s="295">
        <f t="shared" si="10"/>
        <v>45792</v>
      </c>
      <c r="D23" s="285" t="str">
        <f t="shared" si="0"/>
        <v/>
      </c>
      <c r="E23" s="286"/>
      <c r="F23" s="286"/>
      <c r="G23" s="286"/>
      <c r="H23" s="287">
        <f>IF(OR(TRIM($AF23)="Krank",TRIM($AF23)="Urlaub",TRIM($AF23)="Exerzitien",TRIM($AF23)="Wallfahrt",TRIM($AF23)="Arbeitsbefreiung",TRIM($AF23)="Azubi - Berufsschule",TRIM($AF23)="Azubi - Schriftliche AP",TRIM($AF23)="Azubi - Mündliche AP",TRIM($AF23)="Azubi - Zwischenprüfung",TRIM($AF23)="Azubi - Prüfungsvorbereitung"),$AA23,IF(TRIM($AF23)="Betriebsausflug",IF($Z23=$AD23,$AA23,$AA23+($Z23-$AD23)*HLOOKUP($D$6,'AZ-Modell'!$C$7:$N$44,18,0)),IF(F23&lt;&gt;"",IF(E23&gt;F23,1-(E23-F23)-G23,F23-E23-G23),0)))</f>
        <v>0</v>
      </c>
      <c r="I23" s="285" t="str">
        <f t="shared" si="5"/>
        <v/>
      </c>
      <c r="J23" s="286"/>
      <c r="K23" s="286"/>
      <c r="L23" s="286"/>
      <c r="M23" s="287">
        <f>IF(OR(TRIM($AF23)="Krank",TRIM($AF23)="Urlaub",TRIM($AF23)="Exerzitien",TRIM($AF23)="Wallfahrt",TRIM($AF23)="Arbeitsbefreiung",TRIM($AF23)="Azubi - Berufsschule",TRIM($AF23)="Azubi - Schriftliche AP",TRIM($AF23)="Azubi - Mündliche AP",TRIM($AF23)="Azubi - Zwischenprüfung",TRIM($AF23)="Azubi - Prüfungsvorbereitung"),$AB23,IF(TRIM($AF23)="Betriebsausflug",IF($Z23=$AD23,$AB23,$AB23+($Z23-$AD23)*HLOOKUP($D$6,'AZ-Modell'!$C$7:$N$44,28,0)),IF(TRIM($AF23)="Namenstag",MAX((4/39)*HLOOKUP($D$6,'AZ-Modell'!$C$7:$N$13,5,0),1/24)+IF(K23&lt;&gt;"",IF(J23&gt;K23,1-(J23-K23)-L23,K23-J23-L23),0),IF(K23&lt;&gt;"",IF(J23&gt;K23,1-(J23-K23)-L23,K23-J23-L23),0))))</f>
        <v>0</v>
      </c>
      <c r="N23" s="285" t="str">
        <f t="shared" si="6"/>
        <v/>
      </c>
      <c r="O23" s="286"/>
      <c r="P23" s="286"/>
      <c r="Q23" s="286"/>
      <c r="R23" s="287">
        <f>IF(OR(TRIM($AF23)="Krank",TRIM($AF23)="Urlaub",TRIM($AF23)="Exerzitien",TRIM($AF23)="Wallfahrt",TRIM($AF23)="Arbeitsbefreiung",TRIM($AF23)="Azubi - Berufsschule",TRIM($AF23)="Azubi - Schriftliche AP",TRIM($AF23)="Azubi - Mündliche AP",TRIM($AF23)="Azubi - Zwischenprüfung",TRIM($AF23)="Azubi - Prüfungsvorbereitung"),$AC23,IF(TRIM($AF23)="Betriebsausflug",IF($Z23=$AD23,$AC23,$AC23+($Z23-$AD23)*HLOOKUP($D$6,'AZ-Modell'!$C$7:$N$44,38,0)),IF(P23&lt;&gt;"",IF(O23&gt;P23,1-(O23-P23)-Q23,P23-O23-Q23),0)))</f>
        <v>0</v>
      </c>
      <c r="S23" s="285"/>
      <c r="T23" s="286"/>
      <c r="U23" s="286"/>
      <c r="V23" s="288">
        <f>ROUNDUP(($T23)*IF($U23&lt;&gt;0,$U23,IF(COUNT($T$9:$T23)&lt;8,20%,25%))*24/5,2)*5/24</f>
        <v>0</v>
      </c>
      <c r="W23" s="285"/>
      <c r="X23" s="289">
        <v>0</v>
      </c>
      <c r="Y23" s="290">
        <f t="shared" si="1"/>
        <v>0</v>
      </c>
      <c r="Z23" s="291">
        <f>IF(OR(TRIM($AF23)="Krank",TRIM($AF23)="Urlaub",TRIM($AF23)="Exerzitien",TRIM($AF23)="Wallfahrt",TRIM($AF23)="Arbeitsbefreiung"),$AD23,IF(OR(TRIM($AF23)="Azubi - Berufsschule",TRIM($AF23)="Azubi - Schriftliche AP",TRIM($AF23)="Azubi - Mündliche AP",TRIM($AF23)="Azubi - Zwischenprüfung",TRIM($AF23)="Azubi - Prüfungsvorbereitung"),VLOOKUP($AF23,Grunddaten!$F$26:$I$31,4,0),IF(TRIM($AF23)="Betriebsausflug",MAX(AD23,(7.8/39)*HLOOKUP($D$6,'AZ-Modell'!$C$7:$N$13,5,0),1/24),IF(AND(OR(TRIM($AF23)="Fortbildung",TRIM($AF23)="Dienstreise"),(+$H23+$M23+$R23+$V23)&lt;$AD23),$AD23,IF(AND(OR(TRIM($AF23)="Fortbildung",TRIM($AF23)="Dienstreise"),$X23&gt;0,(+$H23+$M23+$R23+$V23)&gt;10/24),10/24,$H23+$M23+$R23+$V23)))))</f>
        <v>0</v>
      </c>
      <c r="AA23" s="291">
        <f>IF(AND($C23&gt;=Grunddaten!$C$30,ISERROR(VLOOKUP($C23,Grunddaten!$F$36:$F$59,1,0)),ISERROR(VLOOKUP(TRIM($AF23),Grunddaten!$F$26:$F$26,1,0))),INDEX('AZ-Modell'!$C$16:$N$22,IF(WEEKDAY($C23)=1,7,WEEKDAY($C23)-1),MONTH($C23)),IF(TRIM($AF23)="Dienst (Feiertag)",IFERROR(VLOOKUP($C23,Grunddaten!$F$36:$I$59,4,0),0),0))</f>
        <v>0.32500000000000001</v>
      </c>
      <c r="AB23" s="291">
        <f>IF(AND($C23&gt;=Grunddaten!$C$30,ISERROR(VLOOKUP($C23,Grunddaten!$F$36:$F$59,1,0)),ISERROR(VLOOKUP(TRIM($AF23),Grunddaten!$F$26:$F$26,1,0))),INDEX('AZ-Modell'!$C$26:$N$32,IF(WEEKDAY($C23)=1,7,WEEKDAY($C23)-1),MONTH($C23)),IF(TRIM($AF23)="Dienst (Feiertag)",IFERROR(VLOOKUP($C23,Grunddaten!$F$36:$I$59,4,0),0),0))</f>
        <v>0</v>
      </c>
      <c r="AC23" s="291">
        <f>IF(AND($C23&gt;=Grunddaten!$C$30,ISERROR(VLOOKUP($C23,Grunddaten!$F$36:$F$59,1,0)),ISERROR(VLOOKUP(TRIM($AF23),Grunddaten!$F$26:$F$26,1,0))),INDEX('AZ-Modell'!$C$36:$N$42,IF(WEEKDAY($C23)=1,7,WEEKDAY($C23)-1),MONTH($C23)),IF(TRIM($AF23)="Dienst (Feiertag)",IFERROR(VLOOKUP($C23,Grunddaten!$F$36:$I$59,4,0),0),0))</f>
        <v>0</v>
      </c>
      <c r="AD23" s="291">
        <f t="shared" si="7"/>
        <v>0.32500000000000001</v>
      </c>
      <c r="AE23" s="290">
        <f t="shared" si="11"/>
        <v>-717.59999999999968</v>
      </c>
      <c r="AF23" s="292" t="str">
        <f>IFERROR(VLOOKUP($C23,Grunddaten!$F$36:$G$59,2,0),"")</f>
        <v/>
      </c>
      <c r="AG23" s="293"/>
      <c r="AH23" s="286">
        <v>0</v>
      </c>
      <c r="AI23" s="291">
        <f t="shared" si="8"/>
        <v>0</v>
      </c>
      <c r="AJ23" s="292"/>
      <c r="AK23" s="291">
        <f>IF(OR(TRIM($AF23)="Krank",TRIM($AF23)="Urlaub",TRIM($AF23)="Exerzitien",TRIM($AF23)="Regenerationstag",TRIM($AF23)="Wallfahrt",TRIM($AF23)="Arbeitsbefreiung",TRIM($AF23)="Umwandlungstag"),$AD23,IF(OR(TRIM($AF23)="Azubi - Berufsschule",TRIM($AF23)="Azubi - Schriftliche AP",TRIM($AF23)="Azubi - Mündliche AP",TRIM($AF23)="Azubi - Zwischenprüfung",TRIM($AF23)="Azubi - Prüfungsvorbereitung"),VLOOKUP($AF23,Grunddaten!$F$26:$I$31,4,0),IF(TRIM($AF23)="Namenstag",MAX((4/39)*HLOOKUP($D$6,'AZ-Modell'!$C$7:$N$13,5,0),1/24)+$H23+$M23+$R23+$V23,IF(TRIM($AF23)="Betriebsausflug",MAX(AD23,(7.8/39)*HLOOKUP($D$6,'AZ-Modell'!$C$7:$N$13,5,0),1/24),$H23+$M23+$R23+$V23))))</f>
        <v>0</v>
      </c>
      <c r="AL23" s="291">
        <f t="shared" si="2"/>
        <v>0</v>
      </c>
      <c r="AM23" s="291">
        <f>ROUND(IF(OR(TRIM($AF23)="Krank",TRIM($AF23)="Urlaub",TRIM($AF23)="Exerzitien",TRIM($AF23)="Wallfahrt",TRIM($AF23)="Arbeitsbefreiung",TRIM($AF23)="AZV",TRIM($AF23)="Betriebsausflug",TRIM($AF23)="Namenstag",TRIM($AF23)="Azubi - Berufsschule",TRIM($AF23)="Azubi - Schriftliche AP",TRIM($AF23)="Azubi - Mündliche AP",TRIM($AF23)="Azubi - Zwischenprüfung",TRIM($AF23)="Azubi - Prüfungsvorbereitung"),0,IF((DAYS360(Grunddaten!$C$25,$C23)/360&gt;=18),IF((($H23+$M23+$R23+$T23)*24)&lt;=6,0,IF(AND((($H23+$M23+$R23+$T23)*24)&gt;6,(($H23+$M23+$R23+$T23)*24)&lt;=9),0.5/24,0.75/24)),IF((($H23+$M23+$R23+$T23)*24)&lt;=4.5,0,IF(AND((($H23+$M23+$R23+$T23)*24)&gt;4.5,(($H23+$M23+$R23+$T23)*24)&lt;=6),0.5/24,1/24)))),5)</f>
        <v>0</v>
      </c>
      <c r="AN23" s="332" t="str">
        <f t="shared" si="9"/>
        <v>R</v>
      </c>
    </row>
    <row r="24" spans="1:40" s="294" customFormat="1" ht="21" customHeight="1" x14ac:dyDescent="0.35">
      <c r="A24" s="331">
        <f t="shared" si="3"/>
        <v>20</v>
      </c>
      <c r="B24" s="283" t="str">
        <f t="shared" si="4"/>
        <v>Fr.</v>
      </c>
      <c r="C24" s="295">
        <f t="shared" si="10"/>
        <v>45793</v>
      </c>
      <c r="D24" s="285" t="str">
        <f t="shared" si="0"/>
        <v/>
      </c>
      <c r="E24" s="286"/>
      <c r="F24" s="286"/>
      <c r="G24" s="286"/>
      <c r="H24" s="287">
        <f>IF(OR(TRIM($AF24)="Krank",TRIM($AF24)="Urlaub",TRIM($AF24)="Exerzitien",TRIM($AF24)="Wallfahrt",TRIM($AF24)="Arbeitsbefreiung",TRIM($AF24)="Azubi - Berufsschule",TRIM($AF24)="Azubi - Schriftliche AP",TRIM($AF24)="Azubi - Mündliche AP",TRIM($AF24)="Azubi - Zwischenprüfung",TRIM($AF24)="Azubi - Prüfungsvorbereitung"),$AA24,IF(TRIM($AF24)="Betriebsausflug",IF($Z24=$AD24,$AA24,$AA24+($Z24-$AD24)*HLOOKUP($D$6,'AZ-Modell'!$C$7:$N$44,18,0)),IF(F24&lt;&gt;"",IF(E24&gt;F24,1-(E24-F24)-G24,F24-E24-G24),0)))</f>
        <v>0</v>
      </c>
      <c r="I24" s="285" t="str">
        <f t="shared" si="5"/>
        <v/>
      </c>
      <c r="J24" s="286"/>
      <c r="K24" s="286"/>
      <c r="L24" s="286"/>
      <c r="M24" s="287">
        <f>IF(OR(TRIM($AF24)="Krank",TRIM($AF24)="Urlaub",TRIM($AF24)="Exerzitien",TRIM($AF24)="Wallfahrt",TRIM($AF24)="Arbeitsbefreiung",TRIM($AF24)="Azubi - Berufsschule",TRIM($AF24)="Azubi - Schriftliche AP",TRIM($AF24)="Azubi - Mündliche AP",TRIM($AF24)="Azubi - Zwischenprüfung",TRIM($AF24)="Azubi - Prüfungsvorbereitung"),$AB24,IF(TRIM($AF24)="Betriebsausflug",IF($Z24=$AD24,$AB24,$AB24+($Z24-$AD24)*HLOOKUP($D$6,'AZ-Modell'!$C$7:$N$44,28,0)),IF(TRIM($AF24)="Namenstag",MAX((4/39)*HLOOKUP($D$6,'AZ-Modell'!$C$7:$N$13,5,0),1/24)+IF(K24&lt;&gt;"",IF(J24&gt;K24,1-(J24-K24)-L24,K24-J24-L24),0),IF(K24&lt;&gt;"",IF(J24&gt;K24,1-(J24-K24)-L24,K24-J24-L24),0))))</f>
        <v>0</v>
      </c>
      <c r="N24" s="285" t="str">
        <f t="shared" si="6"/>
        <v/>
      </c>
      <c r="O24" s="286"/>
      <c r="P24" s="286"/>
      <c r="Q24" s="286"/>
      <c r="R24" s="287">
        <f>IF(OR(TRIM($AF24)="Krank",TRIM($AF24)="Urlaub",TRIM($AF24)="Exerzitien",TRIM($AF24)="Wallfahrt",TRIM($AF24)="Arbeitsbefreiung",TRIM($AF24)="Azubi - Berufsschule",TRIM($AF24)="Azubi - Schriftliche AP",TRIM($AF24)="Azubi - Mündliche AP",TRIM($AF24)="Azubi - Zwischenprüfung",TRIM($AF24)="Azubi - Prüfungsvorbereitung"),$AC24,IF(TRIM($AF24)="Betriebsausflug",IF($Z24=$AD24,$AC24,$AC24+($Z24-$AD24)*HLOOKUP($D$6,'AZ-Modell'!$C$7:$N$44,38,0)),IF(P24&lt;&gt;"",IF(O24&gt;P24,1-(O24-P24)-Q24,P24-O24-Q24),0)))</f>
        <v>0</v>
      </c>
      <c r="S24" s="285"/>
      <c r="T24" s="286"/>
      <c r="U24" s="286"/>
      <c r="V24" s="288">
        <f>ROUNDUP(($T24)*IF($U24&lt;&gt;0,$U24,IF(COUNT($T$9:$T24)&lt;8,20%,25%))*24/5,2)*5/24</f>
        <v>0</v>
      </c>
      <c r="W24" s="285"/>
      <c r="X24" s="289">
        <v>0</v>
      </c>
      <c r="Y24" s="290">
        <f t="shared" si="1"/>
        <v>0</v>
      </c>
      <c r="Z24" s="291">
        <f>IF(OR(TRIM($AF24)="Krank",TRIM($AF24)="Urlaub",TRIM($AF24)="Exerzitien",TRIM($AF24)="Wallfahrt",TRIM($AF24)="Arbeitsbefreiung"),$AD24,IF(OR(TRIM($AF24)="Azubi - Berufsschule",TRIM($AF24)="Azubi - Schriftliche AP",TRIM($AF24)="Azubi - Mündliche AP",TRIM($AF24)="Azubi - Zwischenprüfung",TRIM($AF24)="Azubi - Prüfungsvorbereitung"),VLOOKUP($AF24,Grunddaten!$F$26:$I$31,4,0),IF(TRIM($AF24)="Betriebsausflug",MAX(AD24,(7.8/39)*HLOOKUP($D$6,'AZ-Modell'!$C$7:$N$13,5,0),1/24),IF(AND(OR(TRIM($AF24)="Fortbildung",TRIM($AF24)="Dienstreise"),(+$H24+$M24+$R24+$V24)&lt;$AD24),$AD24,IF(AND(OR(TRIM($AF24)="Fortbildung",TRIM($AF24)="Dienstreise"),$X24&gt;0,(+$H24+$M24+$R24+$V24)&gt;10/24),10/24,$H24+$M24+$R24+$V24)))))</f>
        <v>0</v>
      </c>
      <c r="AA24" s="291">
        <f>IF(AND($C24&gt;=Grunddaten!$C$30,ISERROR(VLOOKUP($C24,Grunddaten!$F$36:$F$59,1,0)),ISERROR(VLOOKUP(TRIM($AF24),Grunddaten!$F$26:$F$26,1,0))),INDEX('AZ-Modell'!$C$16:$N$22,IF(WEEKDAY($C24)=1,7,WEEKDAY($C24)-1),MONTH($C24)),IF(TRIM($AF24)="Dienst (Feiertag)",IFERROR(VLOOKUP($C24,Grunddaten!$F$36:$I$59,4,0),0),0))</f>
        <v>0.32500000000000001</v>
      </c>
      <c r="AB24" s="291">
        <f>IF(AND($C24&gt;=Grunddaten!$C$30,ISERROR(VLOOKUP($C24,Grunddaten!$F$36:$F$59,1,0)),ISERROR(VLOOKUP(TRIM($AF24),Grunddaten!$F$26:$F$26,1,0))),INDEX('AZ-Modell'!$C$26:$N$32,IF(WEEKDAY($C24)=1,7,WEEKDAY($C24)-1),MONTH($C24)),IF(TRIM($AF24)="Dienst (Feiertag)",IFERROR(VLOOKUP($C24,Grunddaten!$F$36:$I$59,4,0),0),0))</f>
        <v>0</v>
      </c>
      <c r="AC24" s="291">
        <f>IF(AND($C24&gt;=Grunddaten!$C$30,ISERROR(VLOOKUP($C24,Grunddaten!$F$36:$F$59,1,0)),ISERROR(VLOOKUP(TRIM($AF24),Grunddaten!$F$26:$F$26,1,0))),INDEX('AZ-Modell'!$C$36:$N$42,IF(WEEKDAY($C24)=1,7,WEEKDAY($C24)-1),MONTH($C24)),IF(TRIM($AF24)="Dienst (Feiertag)",IFERROR(VLOOKUP($C24,Grunddaten!$F$36:$I$59,4,0),0),0))</f>
        <v>0</v>
      </c>
      <c r="AD24" s="291">
        <f t="shared" si="7"/>
        <v>0.32500000000000001</v>
      </c>
      <c r="AE24" s="290">
        <f t="shared" si="11"/>
        <v>-725.39999999999964</v>
      </c>
      <c r="AF24" s="292" t="str">
        <f>IFERROR(VLOOKUP($C24,Grunddaten!$F$36:$G$59,2,0),"")</f>
        <v/>
      </c>
      <c r="AG24" s="293"/>
      <c r="AH24" s="286">
        <v>0</v>
      </c>
      <c r="AI24" s="291">
        <f t="shared" si="8"/>
        <v>0</v>
      </c>
      <c r="AJ24" s="292"/>
      <c r="AK24" s="291">
        <f>IF(OR(TRIM($AF24)="Krank",TRIM($AF24)="Urlaub",TRIM($AF24)="Exerzitien",TRIM($AF24)="Regenerationstag",TRIM($AF24)="Wallfahrt",TRIM($AF24)="Arbeitsbefreiung",TRIM($AF24)="Umwandlungstag"),$AD24,IF(OR(TRIM($AF24)="Azubi - Berufsschule",TRIM($AF24)="Azubi - Schriftliche AP",TRIM($AF24)="Azubi - Mündliche AP",TRIM($AF24)="Azubi - Zwischenprüfung",TRIM($AF24)="Azubi - Prüfungsvorbereitung"),VLOOKUP($AF24,Grunddaten!$F$26:$I$31,4,0),IF(TRIM($AF24)="Namenstag",MAX((4/39)*HLOOKUP($D$6,'AZ-Modell'!$C$7:$N$13,5,0),1/24)+$H24+$M24+$R24+$V24,IF(TRIM($AF24)="Betriebsausflug",MAX(AD24,(7.8/39)*HLOOKUP($D$6,'AZ-Modell'!$C$7:$N$13,5,0),1/24),$H24+$M24+$R24+$V24))))</f>
        <v>0</v>
      </c>
      <c r="AL24" s="291">
        <f t="shared" si="2"/>
        <v>0</v>
      </c>
      <c r="AM24" s="291">
        <f>ROUND(IF(OR(TRIM($AF24)="Krank",TRIM($AF24)="Urlaub",TRIM($AF24)="Exerzitien",TRIM($AF24)="Wallfahrt",TRIM($AF24)="Arbeitsbefreiung",TRIM($AF24)="AZV",TRIM($AF24)="Betriebsausflug",TRIM($AF24)="Namenstag",TRIM($AF24)="Azubi - Berufsschule",TRIM($AF24)="Azubi - Schriftliche AP",TRIM($AF24)="Azubi - Mündliche AP",TRIM($AF24)="Azubi - Zwischenprüfung",TRIM($AF24)="Azubi - Prüfungsvorbereitung"),0,IF((DAYS360(Grunddaten!$C$25,$C24)/360&gt;=18),IF((($H24+$M24+$R24+$T24)*24)&lt;=6,0,IF(AND((($H24+$M24+$R24+$T24)*24)&gt;6,(($H24+$M24+$R24+$T24)*24)&lt;=9),0.5/24,0.75/24)),IF((($H24+$M24+$R24+$T24)*24)&lt;=4.5,0,IF(AND((($H24+$M24+$R24+$T24)*24)&gt;4.5,(($H24+$M24+$R24+$T24)*24)&lt;=6),0.5/24,1/24)))),5)</f>
        <v>0</v>
      </c>
      <c r="AN24" s="332" t="str">
        <f t="shared" si="9"/>
        <v>R</v>
      </c>
    </row>
    <row r="25" spans="1:40" s="294" customFormat="1" ht="21" customHeight="1" x14ac:dyDescent="0.35">
      <c r="A25" s="331">
        <f t="shared" si="3"/>
        <v>20</v>
      </c>
      <c r="B25" s="283" t="str">
        <f t="shared" si="4"/>
        <v>Sa.</v>
      </c>
      <c r="C25" s="295">
        <f t="shared" si="10"/>
        <v>45794</v>
      </c>
      <c r="D25" s="285" t="str">
        <f t="shared" si="0"/>
        <v/>
      </c>
      <c r="E25" s="286"/>
      <c r="F25" s="286"/>
      <c r="G25" s="286"/>
      <c r="H25" s="287">
        <f>IF(OR(TRIM($AF25)="Krank",TRIM($AF25)="Urlaub",TRIM($AF25)="Exerzitien",TRIM($AF25)="Wallfahrt",TRIM($AF25)="Arbeitsbefreiung",TRIM($AF25)="Azubi - Berufsschule",TRIM($AF25)="Azubi - Schriftliche AP",TRIM($AF25)="Azubi - Mündliche AP",TRIM($AF25)="Azubi - Zwischenprüfung",TRIM($AF25)="Azubi - Prüfungsvorbereitung"),$AA25,IF(TRIM($AF25)="Betriebsausflug",IF($Z25=$AD25,$AA25,$AA25+($Z25-$AD25)*HLOOKUP($D$6,'AZ-Modell'!$C$7:$N$44,18,0)),IF(F25&lt;&gt;"",IF(E25&gt;F25,1-(E25-F25)-G25,F25-E25-G25),0)))</f>
        <v>0</v>
      </c>
      <c r="I25" s="285" t="str">
        <f t="shared" si="5"/>
        <v/>
      </c>
      <c r="J25" s="286"/>
      <c r="K25" s="286"/>
      <c r="L25" s="286"/>
      <c r="M25" s="287">
        <f>IF(OR(TRIM($AF25)="Krank",TRIM($AF25)="Urlaub",TRIM($AF25)="Exerzitien",TRIM($AF25)="Wallfahrt",TRIM($AF25)="Arbeitsbefreiung",TRIM($AF25)="Azubi - Berufsschule",TRIM($AF25)="Azubi - Schriftliche AP",TRIM($AF25)="Azubi - Mündliche AP",TRIM($AF25)="Azubi - Zwischenprüfung",TRIM($AF25)="Azubi - Prüfungsvorbereitung"),$AB25,IF(TRIM($AF25)="Betriebsausflug",IF($Z25=$AD25,$AB25,$AB25+($Z25-$AD25)*HLOOKUP($D$6,'AZ-Modell'!$C$7:$N$44,28,0)),IF(TRIM($AF25)="Namenstag",MAX((4/39)*HLOOKUP($D$6,'AZ-Modell'!$C$7:$N$13,5,0),1/24)+IF(K25&lt;&gt;"",IF(J25&gt;K25,1-(J25-K25)-L25,K25-J25-L25),0),IF(K25&lt;&gt;"",IF(J25&gt;K25,1-(J25-K25)-L25,K25-J25-L25),0))))</f>
        <v>0</v>
      </c>
      <c r="N25" s="285" t="str">
        <f t="shared" si="6"/>
        <v/>
      </c>
      <c r="O25" s="286"/>
      <c r="P25" s="286"/>
      <c r="Q25" s="286"/>
      <c r="R25" s="287">
        <f>IF(OR(TRIM($AF25)="Krank",TRIM($AF25)="Urlaub",TRIM($AF25)="Exerzitien",TRIM($AF25)="Wallfahrt",TRIM($AF25)="Arbeitsbefreiung",TRIM($AF25)="Azubi - Berufsschule",TRIM($AF25)="Azubi - Schriftliche AP",TRIM($AF25)="Azubi - Mündliche AP",TRIM($AF25)="Azubi - Zwischenprüfung",TRIM($AF25)="Azubi - Prüfungsvorbereitung"),$AC25,IF(TRIM($AF25)="Betriebsausflug",IF($Z25=$AD25,$AC25,$AC25+($Z25-$AD25)*HLOOKUP($D$6,'AZ-Modell'!$C$7:$N$44,38,0)),IF(P25&lt;&gt;"",IF(O25&gt;P25,1-(O25-P25)-Q25,P25-O25-Q25),0)))</f>
        <v>0</v>
      </c>
      <c r="S25" s="285"/>
      <c r="T25" s="286"/>
      <c r="U25" s="286"/>
      <c r="V25" s="288">
        <f>ROUNDUP(($T25)*IF($U25&lt;&gt;0,$U25,IF(COUNT($T$9:$T25)&lt;8,20%,25%))*24/5,2)*5/24</f>
        <v>0</v>
      </c>
      <c r="W25" s="285"/>
      <c r="X25" s="289">
        <v>0</v>
      </c>
      <c r="Y25" s="290">
        <f t="shared" si="1"/>
        <v>0</v>
      </c>
      <c r="Z25" s="291">
        <f>IF(OR(TRIM($AF25)="Krank",TRIM($AF25)="Urlaub",TRIM($AF25)="Exerzitien",TRIM($AF25)="Wallfahrt",TRIM($AF25)="Arbeitsbefreiung"),$AD25,IF(OR(TRIM($AF25)="Azubi - Berufsschule",TRIM($AF25)="Azubi - Schriftliche AP",TRIM($AF25)="Azubi - Mündliche AP",TRIM($AF25)="Azubi - Zwischenprüfung",TRIM($AF25)="Azubi - Prüfungsvorbereitung"),VLOOKUP($AF25,Grunddaten!$F$26:$I$31,4,0),IF(TRIM($AF25)="Betriebsausflug",MAX(AD25,(7.8/39)*HLOOKUP($D$6,'AZ-Modell'!$C$7:$N$13,5,0),1/24),IF(AND(OR(TRIM($AF25)="Fortbildung",TRIM($AF25)="Dienstreise"),(+$H25+$M25+$R25+$V25)&lt;$AD25),$AD25,IF(AND(OR(TRIM($AF25)="Fortbildung",TRIM($AF25)="Dienstreise"),$X25&gt;0,(+$H25+$M25+$R25+$V25)&gt;10/24),10/24,$H25+$M25+$R25+$V25)))))</f>
        <v>0</v>
      </c>
      <c r="AA25" s="291">
        <f>IF(AND($C25&gt;=Grunddaten!$C$30,ISERROR(VLOOKUP($C25,Grunddaten!$F$36:$F$59,1,0)),ISERROR(VLOOKUP(TRIM($AF25),Grunddaten!$F$26:$F$26,1,0))),INDEX('AZ-Modell'!$C$16:$N$22,IF(WEEKDAY($C25)=1,7,WEEKDAY($C25)-1),MONTH($C25)),IF(TRIM($AF25)="Dienst (Feiertag)",IFERROR(VLOOKUP($C25,Grunddaten!$F$36:$I$59,4,0),0),0))</f>
        <v>0</v>
      </c>
      <c r="AB25" s="291">
        <f>IF(AND($C25&gt;=Grunddaten!$C$30,ISERROR(VLOOKUP($C25,Grunddaten!$F$36:$F$59,1,0)),ISERROR(VLOOKUP(TRIM($AF25),Grunddaten!$F$26:$F$26,1,0))),INDEX('AZ-Modell'!$C$26:$N$32,IF(WEEKDAY($C25)=1,7,WEEKDAY($C25)-1),MONTH($C25)),IF(TRIM($AF25)="Dienst (Feiertag)",IFERROR(VLOOKUP($C25,Grunddaten!$F$36:$I$59,4,0),0),0))</f>
        <v>0</v>
      </c>
      <c r="AC25" s="291">
        <f>IF(AND($C25&gt;=Grunddaten!$C$30,ISERROR(VLOOKUP($C25,Grunddaten!$F$36:$F$59,1,0)),ISERROR(VLOOKUP(TRIM($AF25),Grunddaten!$F$26:$F$26,1,0))),INDEX('AZ-Modell'!$C$36:$N$42,IF(WEEKDAY($C25)=1,7,WEEKDAY($C25)-1),MONTH($C25)),IF(TRIM($AF25)="Dienst (Feiertag)",IFERROR(VLOOKUP($C25,Grunddaten!$F$36:$I$59,4,0),0),0))</f>
        <v>0</v>
      </c>
      <c r="AD25" s="291">
        <f t="shared" si="7"/>
        <v>0</v>
      </c>
      <c r="AE25" s="290">
        <f t="shared" si="11"/>
        <v>-725.39999999999964</v>
      </c>
      <c r="AF25" s="292" t="str">
        <f>IFERROR(VLOOKUP($C25,Grunddaten!$F$36:$G$59,2,0),"")</f>
        <v/>
      </c>
      <c r="AG25" s="293"/>
      <c r="AH25" s="286">
        <v>0</v>
      </c>
      <c r="AI25" s="291">
        <f t="shared" si="8"/>
        <v>0</v>
      </c>
      <c r="AJ25" s="292"/>
      <c r="AK25" s="291">
        <f>IF(OR(TRIM($AF25)="Krank",TRIM($AF25)="Urlaub",TRIM($AF25)="Exerzitien",TRIM($AF25)="Regenerationstag",TRIM($AF25)="Wallfahrt",TRIM($AF25)="Arbeitsbefreiung",TRIM($AF25)="Umwandlungstag"),$AD25,IF(OR(TRIM($AF25)="Azubi - Berufsschule",TRIM($AF25)="Azubi - Schriftliche AP",TRIM($AF25)="Azubi - Mündliche AP",TRIM($AF25)="Azubi - Zwischenprüfung",TRIM($AF25)="Azubi - Prüfungsvorbereitung"),VLOOKUP($AF25,Grunddaten!$F$26:$I$31,4,0),IF(TRIM($AF25)="Namenstag",MAX((4/39)*HLOOKUP($D$6,'AZ-Modell'!$C$7:$N$13,5,0),1/24)+$H25+$M25+$R25+$V25,IF(TRIM($AF25)="Betriebsausflug",MAX(AD25,(7.8/39)*HLOOKUP($D$6,'AZ-Modell'!$C$7:$N$13,5,0),1/24),$H25+$M25+$R25+$V25))))</f>
        <v>0</v>
      </c>
      <c r="AL25" s="291">
        <f t="shared" si="2"/>
        <v>0</v>
      </c>
      <c r="AM25" s="291">
        <f>ROUND(IF(OR(TRIM($AF25)="Krank",TRIM($AF25)="Urlaub",TRIM($AF25)="Exerzitien",TRIM($AF25)="Wallfahrt",TRIM($AF25)="Arbeitsbefreiung",TRIM($AF25)="AZV",TRIM($AF25)="Betriebsausflug",TRIM($AF25)="Namenstag",TRIM($AF25)="Azubi - Berufsschule",TRIM($AF25)="Azubi - Schriftliche AP",TRIM($AF25)="Azubi - Mündliche AP",TRIM($AF25)="Azubi - Zwischenprüfung",TRIM($AF25)="Azubi - Prüfungsvorbereitung"),0,IF((DAYS360(Grunddaten!$C$25,$C25)/360&gt;=18),IF((($H25+$M25+$R25+$T25)*24)&lt;=6,0,IF(AND((($H25+$M25+$R25+$T25)*24)&gt;6,(($H25+$M25+$R25+$T25)*24)&lt;=9),0.5/24,0.75/24)),IF((($H25+$M25+$R25+$T25)*24)&lt;=4.5,0,IF(AND((($H25+$M25+$R25+$T25)*24)&gt;4.5,(($H25+$M25+$R25+$T25)*24)&lt;=6),0.5/24,1/24)))),5)</f>
        <v>0</v>
      </c>
      <c r="AN25" s="332" t="str">
        <f t="shared" si="9"/>
        <v>R</v>
      </c>
    </row>
    <row r="26" spans="1:40" s="294" customFormat="1" ht="21" customHeight="1" x14ac:dyDescent="0.35">
      <c r="A26" s="331">
        <f t="shared" si="3"/>
        <v>21</v>
      </c>
      <c r="B26" s="283" t="str">
        <f t="shared" si="4"/>
        <v>So.</v>
      </c>
      <c r="C26" s="295">
        <f t="shared" si="10"/>
        <v>45795</v>
      </c>
      <c r="D26" s="285" t="str">
        <f t="shared" si="0"/>
        <v/>
      </c>
      <c r="E26" s="286"/>
      <c r="F26" s="286"/>
      <c r="G26" s="286"/>
      <c r="H26" s="287">
        <f>IF(OR(TRIM($AF26)="Krank",TRIM($AF26)="Urlaub",TRIM($AF26)="Exerzitien",TRIM($AF26)="Wallfahrt",TRIM($AF26)="Arbeitsbefreiung",TRIM($AF26)="Azubi - Berufsschule",TRIM($AF26)="Azubi - Schriftliche AP",TRIM($AF26)="Azubi - Mündliche AP",TRIM($AF26)="Azubi - Zwischenprüfung",TRIM($AF26)="Azubi - Prüfungsvorbereitung"),$AA26,IF(TRIM($AF26)="Betriebsausflug",IF($Z26=$AD26,$AA26,$AA26+($Z26-$AD26)*HLOOKUP($D$6,'AZ-Modell'!$C$7:$N$44,18,0)),IF(F26&lt;&gt;"",IF(E26&gt;F26,1-(E26-F26)-G26,F26-E26-G26),0)))</f>
        <v>0</v>
      </c>
      <c r="I26" s="285" t="str">
        <f t="shared" si="5"/>
        <v/>
      </c>
      <c r="J26" s="286"/>
      <c r="K26" s="286"/>
      <c r="L26" s="286"/>
      <c r="M26" s="287">
        <f>IF(OR(TRIM($AF26)="Krank",TRIM($AF26)="Urlaub",TRIM($AF26)="Exerzitien",TRIM($AF26)="Wallfahrt",TRIM($AF26)="Arbeitsbefreiung",TRIM($AF26)="Azubi - Berufsschule",TRIM($AF26)="Azubi - Schriftliche AP",TRIM($AF26)="Azubi - Mündliche AP",TRIM($AF26)="Azubi - Zwischenprüfung",TRIM($AF26)="Azubi - Prüfungsvorbereitung"),$AB26,IF(TRIM($AF26)="Betriebsausflug",IF($Z26=$AD26,$AB26,$AB26+($Z26-$AD26)*HLOOKUP($D$6,'AZ-Modell'!$C$7:$N$44,28,0)),IF(TRIM($AF26)="Namenstag",MAX((4/39)*HLOOKUP($D$6,'AZ-Modell'!$C$7:$N$13,5,0),1/24)+IF(K26&lt;&gt;"",IF(J26&gt;K26,1-(J26-K26)-L26,K26-J26-L26),0),IF(K26&lt;&gt;"",IF(J26&gt;K26,1-(J26-K26)-L26,K26-J26-L26),0))))</f>
        <v>0</v>
      </c>
      <c r="N26" s="285" t="str">
        <f t="shared" si="6"/>
        <v/>
      </c>
      <c r="O26" s="286"/>
      <c r="P26" s="286"/>
      <c r="Q26" s="286"/>
      <c r="R26" s="287">
        <f>IF(OR(TRIM($AF26)="Krank",TRIM($AF26)="Urlaub",TRIM($AF26)="Exerzitien",TRIM($AF26)="Wallfahrt",TRIM($AF26)="Arbeitsbefreiung",TRIM($AF26)="Azubi - Berufsschule",TRIM($AF26)="Azubi - Schriftliche AP",TRIM($AF26)="Azubi - Mündliche AP",TRIM($AF26)="Azubi - Zwischenprüfung",TRIM($AF26)="Azubi - Prüfungsvorbereitung"),$AC26,IF(TRIM($AF26)="Betriebsausflug",IF($Z26=$AD26,$AC26,$AC26+($Z26-$AD26)*HLOOKUP($D$6,'AZ-Modell'!$C$7:$N$44,38,0)),IF(P26&lt;&gt;"",IF(O26&gt;P26,1-(O26-P26)-Q26,P26-O26-Q26),0)))</f>
        <v>0</v>
      </c>
      <c r="S26" s="285"/>
      <c r="T26" s="286"/>
      <c r="U26" s="286"/>
      <c r="V26" s="288">
        <f>ROUNDUP(($T26)*IF($U26&lt;&gt;0,$U26,IF(COUNT($T$9:$T26)&lt;8,20%,25%))*24/5,2)*5/24</f>
        <v>0</v>
      </c>
      <c r="W26" s="285"/>
      <c r="X26" s="289">
        <v>0</v>
      </c>
      <c r="Y26" s="290">
        <f t="shared" si="1"/>
        <v>0</v>
      </c>
      <c r="Z26" s="291">
        <f>IF(OR(TRIM($AF26)="Krank",TRIM($AF26)="Urlaub",TRIM($AF26)="Exerzitien",TRIM($AF26)="Wallfahrt",TRIM($AF26)="Arbeitsbefreiung"),$AD26,IF(OR(TRIM($AF26)="Azubi - Berufsschule",TRIM($AF26)="Azubi - Schriftliche AP",TRIM($AF26)="Azubi - Mündliche AP",TRIM($AF26)="Azubi - Zwischenprüfung",TRIM($AF26)="Azubi - Prüfungsvorbereitung"),VLOOKUP($AF26,Grunddaten!$F$26:$I$31,4,0),IF(TRIM($AF26)="Betriebsausflug",MAX(AD26,(7.8/39)*HLOOKUP($D$6,'AZ-Modell'!$C$7:$N$13,5,0),1/24),IF(AND(OR(TRIM($AF26)="Fortbildung",TRIM($AF26)="Dienstreise"),(+$H26+$M26+$R26+$V26)&lt;$AD26),$AD26,IF(AND(OR(TRIM($AF26)="Fortbildung",TRIM($AF26)="Dienstreise"),$X26&gt;0,(+$H26+$M26+$R26+$V26)&gt;10/24),10/24,$H26+$M26+$R26+$V26)))))</f>
        <v>0</v>
      </c>
      <c r="AA26" s="291">
        <f>IF(AND($C26&gt;=Grunddaten!$C$30,ISERROR(VLOOKUP($C26,Grunddaten!$F$36:$F$59,1,0)),ISERROR(VLOOKUP(TRIM($AF26),Grunddaten!$F$26:$F$26,1,0))),INDEX('AZ-Modell'!$C$16:$N$22,IF(WEEKDAY($C26)=1,7,WEEKDAY($C26)-1),MONTH($C26)),IF(TRIM($AF26)="Dienst (Feiertag)",IFERROR(VLOOKUP($C26,Grunddaten!$F$36:$I$59,4,0),0),0))</f>
        <v>0</v>
      </c>
      <c r="AB26" s="291">
        <f>IF(AND($C26&gt;=Grunddaten!$C$30,ISERROR(VLOOKUP($C26,Grunddaten!$F$36:$F$59,1,0)),ISERROR(VLOOKUP(TRIM($AF26),Grunddaten!$F$26:$F$26,1,0))),INDEX('AZ-Modell'!$C$26:$N$32,IF(WEEKDAY($C26)=1,7,WEEKDAY($C26)-1),MONTH($C26)),IF(TRIM($AF26)="Dienst (Feiertag)",IFERROR(VLOOKUP($C26,Grunddaten!$F$36:$I$59,4,0),0),0))</f>
        <v>0</v>
      </c>
      <c r="AC26" s="291">
        <f>IF(AND($C26&gt;=Grunddaten!$C$30,ISERROR(VLOOKUP($C26,Grunddaten!$F$36:$F$59,1,0)),ISERROR(VLOOKUP(TRIM($AF26),Grunddaten!$F$26:$F$26,1,0))),INDEX('AZ-Modell'!$C$36:$N$42,IF(WEEKDAY($C26)=1,7,WEEKDAY($C26)-1),MONTH($C26)),IF(TRIM($AF26)="Dienst (Feiertag)",IFERROR(VLOOKUP($C26,Grunddaten!$F$36:$I$59,4,0),0),0))</f>
        <v>0</v>
      </c>
      <c r="AD26" s="291">
        <f t="shared" si="7"/>
        <v>0</v>
      </c>
      <c r="AE26" s="290">
        <f t="shared" si="11"/>
        <v>-725.39999999999964</v>
      </c>
      <c r="AF26" s="292" t="str">
        <f>IFERROR(VLOOKUP($C26,Grunddaten!$F$36:$G$59,2,0),"")</f>
        <v/>
      </c>
      <c r="AG26" s="293"/>
      <c r="AH26" s="286">
        <v>0</v>
      </c>
      <c r="AI26" s="291">
        <f t="shared" si="8"/>
        <v>0</v>
      </c>
      <c r="AJ26" s="292"/>
      <c r="AK26" s="291">
        <f>IF(OR(TRIM($AF26)="Krank",TRIM($AF26)="Urlaub",TRIM($AF26)="Exerzitien",TRIM($AF26)="Regenerationstag",TRIM($AF26)="Wallfahrt",TRIM($AF26)="Arbeitsbefreiung",TRIM($AF26)="Umwandlungstag"),$AD26,IF(OR(TRIM($AF26)="Azubi - Berufsschule",TRIM($AF26)="Azubi - Schriftliche AP",TRIM($AF26)="Azubi - Mündliche AP",TRIM($AF26)="Azubi - Zwischenprüfung",TRIM($AF26)="Azubi - Prüfungsvorbereitung"),VLOOKUP($AF26,Grunddaten!$F$26:$I$31,4,0),IF(TRIM($AF26)="Namenstag",MAX((4/39)*HLOOKUP($D$6,'AZ-Modell'!$C$7:$N$13,5,0),1/24)+$H26+$M26+$R26+$V26,IF(TRIM($AF26)="Betriebsausflug",MAX(AD26,(7.8/39)*HLOOKUP($D$6,'AZ-Modell'!$C$7:$N$13,5,0),1/24),$H26+$M26+$R26+$V26))))</f>
        <v>0</v>
      </c>
      <c r="AL26" s="291">
        <f t="shared" si="2"/>
        <v>0</v>
      </c>
      <c r="AM26" s="291">
        <f>ROUND(IF(OR(TRIM($AF26)="Krank",TRIM($AF26)="Urlaub",TRIM($AF26)="Exerzitien",TRIM($AF26)="Wallfahrt",TRIM($AF26)="Arbeitsbefreiung",TRIM($AF26)="AZV",TRIM($AF26)="Betriebsausflug",TRIM($AF26)="Namenstag",TRIM($AF26)="Azubi - Berufsschule",TRIM($AF26)="Azubi - Schriftliche AP",TRIM($AF26)="Azubi - Mündliche AP",TRIM($AF26)="Azubi - Zwischenprüfung",TRIM($AF26)="Azubi - Prüfungsvorbereitung"),0,IF((DAYS360(Grunddaten!$C$25,$C26)/360&gt;=18),IF((($H26+$M26+$R26+$T26)*24)&lt;=6,0,IF(AND((($H26+$M26+$R26+$T26)*24)&gt;6,(($H26+$M26+$R26+$T26)*24)&lt;=9),0.5/24,0.75/24)),IF((($H26+$M26+$R26+$T26)*24)&lt;=4.5,0,IF(AND((($H26+$M26+$R26+$T26)*24)&gt;4.5,(($H26+$M26+$R26+$T26)*24)&lt;=6),0.5/24,1/24)))),5)</f>
        <v>0</v>
      </c>
      <c r="AN26" s="332" t="str">
        <f t="shared" si="9"/>
        <v>R</v>
      </c>
    </row>
    <row r="27" spans="1:40" s="294" customFormat="1" ht="21" customHeight="1" x14ac:dyDescent="0.35">
      <c r="A27" s="331">
        <f t="shared" si="3"/>
        <v>21</v>
      </c>
      <c r="B27" s="283" t="str">
        <f t="shared" si="4"/>
        <v>Mo.</v>
      </c>
      <c r="C27" s="295">
        <f t="shared" si="10"/>
        <v>45796</v>
      </c>
      <c r="D27" s="285" t="str">
        <f t="shared" si="0"/>
        <v/>
      </c>
      <c r="E27" s="286"/>
      <c r="F27" s="286"/>
      <c r="G27" s="286"/>
      <c r="H27" s="287">
        <f>IF(OR(TRIM($AF27)="Krank",TRIM($AF27)="Urlaub",TRIM($AF27)="Exerzitien",TRIM($AF27)="Wallfahrt",TRIM($AF27)="Arbeitsbefreiung",TRIM($AF27)="Azubi - Berufsschule",TRIM($AF27)="Azubi - Schriftliche AP",TRIM($AF27)="Azubi - Mündliche AP",TRIM($AF27)="Azubi - Zwischenprüfung",TRIM($AF27)="Azubi - Prüfungsvorbereitung"),$AA27,IF(TRIM($AF27)="Betriebsausflug",IF($Z27=$AD27,$AA27,$AA27+($Z27-$AD27)*HLOOKUP($D$6,'AZ-Modell'!$C$7:$N$44,18,0)),IF(F27&lt;&gt;"",IF(E27&gt;F27,1-(E27-F27)-G27,F27-E27-G27),0)))</f>
        <v>0</v>
      </c>
      <c r="I27" s="285" t="str">
        <f t="shared" si="5"/>
        <v/>
      </c>
      <c r="J27" s="286"/>
      <c r="K27" s="286"/>
      <c r="L27" s="286"/>
      <c r="M27" s="287">
        <f>IF(OR(TRIM($AF27)="Krank",TRIM($AF27)="Urlaub",TRIM($AF27)="Exerzitien",TRIM($AF27)="Wallfahrt",TRIM($AF27)="Arbeitsbefreiung",TRIM($AF27)="Azubi - Berufsschule",TRIM($AF27)="Azubi - Schriftliche AP",TRIM($AF27)="Azubi - Mündliche AP",TRIM($AF27)="Azubi - Zwischenprüfung",TRIM($AF27)="Azubi - Prüfungsvorbereitung"),$AB27,IF(TRIM($AF27)="Betriebsausflug",IF($Z27=$AD27,$AB27,$AB27+($Z27-$AD27)*HLOOKUP($D$6,'AZ-Modell'!$C$7:$N$44,28,0)),IF(TRIM($AF27)="Namenstag",MAX((4/39)*HLOOKUP($D$6,'AZ-Modell'!$C$7:$N$13,5,0),1/24)+IF(K27&lt;&gt;"",IF(J27&gt;K27,1-(J27-K27)-L27,K27-J27-L27),0),IF(K27&lt;&gt;"",IF(J27&gt;K27,1-(J27-K27)-L27,K27-J27-L27),0))))</f>
        <v>0</v>
      </c>
      <c r="N27" s="285" t="str">
        <f t="shared" si="6"/>
        <v/>
      </c>
      <c r="O27" s="286"/>
      <c r="P27" s="286"/>
      <c r="Q27" s="286"/>
      <c r="R27" s="287">
        <f>IF(OR(TRIM($AF27)="Krank",TRIM($AF27)="Urlaub",TRIM($AF27)="Exerzitien",TRIM($AF27)="Wallfahrt",TRIM($AF27)="Arbeitsbefreiung",TRIM($AF27)="Azubi - Berufsschule",TRIM($AF27)="Azubi - Schriftliche AP",TRIM($AF27)="Azubi - Mündliche AP",TRIM($AF27)="Azubi - Zwischenprüfung",TRIM($AF27)="Azubi - Prüfungsvorbereitung"),$AC27,IF(TRIM($AF27)="Betriebsausflug",IF($Z27=$AD27,$AC27,$AC27+($Z27-$AD27)*HLOOKUP($D$6,'AZ-Modell'!$C$7:$N$44,38,0)),IF(P27&lt;&gt;"",IF(O27&gt;P27,1-(O27-P27)-Q27,P27-O27-Q27),0)))</f>
        <v>0</v>
      </c>
      <c r="S27" s="285"/>
      <c r="T27" s="286"/>
      <c r="U27" s="286"/>
      <c r="V27" s="288">
        <f>ROUNDUP(($T27)*IF($U27&lt;&gt;0,$U27,IF(COUNT($T$9:$T27)&lt;8,20%,25%))*24/5,2)*5/24</f>
        <v>0</v>
      </c>
      <c r="W27" s="285"/>
      <c r="X27" s="289">
        <v>0</v>
      </c>
      <c r="Y27" s="290">
        <f t="shared" si="1"/>
        <v>0</v>
      </c>
      <c r="Z27" s="291">
        <f>IF(OR(TRIM($AF27)="Krank",TRIM($AF27)="Urlaub",TRIM($AF27)="Exerzitien",TRIM($AF27)="Wallfahrt",TRIM($AF27)="Arbeitsbefreiung"),$AD27,IF(OR(TRIM($AF27)="Azubi - Berufsschule",TRIM($AF27)="Azubi - Schriftliche AP",TRIM($AF27)="Azubi - Mündliche AP",TRIM($AF27)="Azubi - Zwischenprüfung",TRIM($AF27)="Azubi - Prüfungsvorbereitung"),VLOOKUP($AF27,Grunddaten!$F$26:$I$31,4,0),IF(TRIM($AF27)="Betriebsausflug",MAX(AD27,(7.8/39)*HLOOKUP($D$6,'AZ-Modell'!$C$7:$N$13,5,0),1/24),IF(AND(OR(TRIM($AF27)="Fortbildung",TRIM($AF27)="Dienstreise"),(+$H27+$M27+$R27+$V27)&lt;$AD27),$AD27,IF(AND(OR(TRIM($AF27)="Fortbildung",TRIM($AF27)="Dienstreise"),$X27&gt;0,(+$H27+$M27+$R27+$V27)&gt;10/24),10/24,$H27+$M27+$R27+$V27)))))</f>
        <v>0</v>
      </c>
      <c r="AA27" s="291">
        <f>IF(AND($C27&gt;=Grunddaten!$C$30,ISERROR(VLOOKUP($C27,Grunddaten!$F$36:$F$59,1,0)),ISERROR(VLOOKUP(TRIM($AF27),Grunddaten!$F$26:$F$26,1,0))),INDEX('AZ-Modell'!$C$16:$N$22,IF(WEEKDAY($C27)=1,7,WEEKDAY($C27)-1),MONTH($C27)),IF(TRIM($AF27)="Dienst (Feiertag)",IFERROR(VLOOKUP($C27,Grunddaten!$F$36:$I$59,4,0),0),0))</f>
        <v>0.32500000000000001</v>
      </c>
      <c r="AB27" s="291">
        <f>IF(AND($C27&gt;=Grunddaten!$C$30,ISERROR(VLOOKUP($C27,Grunddaten!$F$36:$F$59,1,0)),ISERROR(VLOOKUP(TRIM($AF27),Grunddaten!$F$26:$F$26,1,0))),INDEX('AZ-Modell'!$C$26:$N$32,IF(WEEKDAY($C27)=1,7,WEEKDAY($C27)-1),MONTH($C27)),IF(TRIM($AF27)="Dienst (Feiertag)",IFERROR(VLOOKUP($C27,Grunddaten!$F$36:$I$59,4,0),0),0))</f>
        <v>0</v>
      </c>
      <c r="AC27" s="291">
        <f>IF(AND($C27&gt;=Grunddaten!$C$30,ISERROR(VLOOKUP($C27,Grunddaten!$F$36:$F$59,1,0)),ISERROR(VLOOKUP(TRIM($AF27),Grunddaten!$F$26:$F$26,1,0))),INDEX('AZ-Modell'!$C$36:$N$42,IF(WEEKDAY($C27)=1,7,WEEKDAY($C27)-1),MONTH($C27)),IF(TRIM($AF27)="Dienst (Feiertag)",IFERROR(VLOOKUP($C27,Grunddaten!$F$36:$I$59,4,0),0),0))</f>
        <v>0</v>
      </c>
      <c r="AD27" s="291">
        <f t="shared" si="7"/>
        <v>0.32500000000000001</v>
      </c>
      <c r="AE27" s="290">
        <f t="shared" si="11"/>
        <v>-733.19999999999959</v>
      </c>
      <c r="AF27" s="292" t="str">
        <f>IFERROR(VLOOKUP($C27,Grunddaten!$F$36:$G$59,2,0),"")</f>
        <v/>
      </c>
      <c r="AG27" s="293"/>
      <c r="AH27" s="286">
        <v>0</v>
      </c>
      <c r="AI27" s="291">
        <f t="shared" si="8"/>
        <v>0</v>
      </c>
      <c r="AJ27" s="292"/>
      <c r="AK27" s="291">
        <f>IF(OR(TRIM($AF27)="Krank",TRIM($AF27)="Urlaub",TRIM($AF27)="Exerzitien",TRIM($AF27)="Regenerationstag",TRIM($AF27)="Wallfahrt",TRIM($AF27)="Arbeitsbefreiung",TRIM($AF27)="Umwandlungstag"),$AD27,IF(OR(TRIM($AF27)="Azubi - Berufsschule",TRIM($AF27)="Azubi - Schriftliche AP",TRIM($AF27)="Azubi - Mündliche AP",TRIM($AF27)="Azubi - Zwischenprüfung",TRIM($AF27)="Azubi - Prüfungsvorbereitung"),VLOOKUP($AF27,Grunddaten!$F$26:$I$31,4,0),IF(TRIM($AF27)="Namenstag",MAX((4/39)*HLOOKUP($D$6,'AZ-Modell'!$C$7:$N$13,5,0),1/24)+$H27+$M27+$R27+$V27,IF(TRIM($AF27)="Betriebsausflug",MAX(AD27,(7.8/39)*HLOOKUP($D$6,'AZ-Modell'!$C$7:$N$13,5,0),1/24),$H27+$M27+$R27+$V27))))</f>
        <v>0</v>
      </c>
      <c r="AL27" s="291">
        <f t="shared" si="2"/>
        <v>0</v>
      </c>
      <c r="AM27" s="291">
        <f>ROUND(IF(OR(TRIM($AF27)="Krank",TRIM($AF27)="Urlaub",TRIM($AF27)="Exerzitien",TRIM($AF27)="Wallfahrt",TRIM($AF27)="Arbeitsbefreiung",TRIM($AF27)="AZV",TRIM($AF27)="Betriebsausflug",TRIM($AF27)="Namenstag",TRIM($AF27)="Azubi - Berufsschule",TRIM($AF27)="Azubi - Schriftliche AP",TRIM($AF27)="Azubi - Mündliche AP",TRIM($AF27)="Azubi - Zwischenprüfung",TRIM($AF27)="Azubi - Prüfungsvorbereitung"),0,IF((DAYS360(Grunddaten!$C$25,$C27)/360&gt;=18),IF((($H27+$M27+$R27+$T27)*24)&lt;=6,0,IF(AND((($H27+$M27+$R27+$T27)*24)&gt;6,(($H27+$M27+$R27+$T27)*24)&lt;=9),0.5/24,0.75/24)),IF((($H27+$M27+$R27+$T27)*24)&lt;=4.5,0,IF(AND((($H27+$M27+$R27+$T27)*24)&gt;4.5,(($H27+$M27+$R27+$T27)*24)&lt;=6),0.5/24,1/24)))),5)</f>
        <v>0</v>
      </c>
      <c r="AN27" s="332" t="str">
        <f t="shared" si="9"/>
        <v>R</v>
      </c>
    </row>
    <row r="28" spans="1:40" s="294" customFormat="1" ht="21" customHeight="1" x14ac:dyDescent="0.35">
      <c r="A28" s="331">
        <f t="shared" si="3"/>
        <v>21</v>
      </c>
      <c r="B28" s="283" t="str">
        <f t="shared" si="4"/>
        <v>Di.</v>
      </c>
      <c r="C28" s="295">
        <f t="shared" si="10"/>
        <v>45797</v>
      </c>
      <c r="D28" s="285" t="str">
        <f t="shared" si="0"/>
        <v/>
      </c>
      <c r="E28" s="286"/>
      <c r="F28" s="286"/>
      <c r="G28" s="286"/>
      <c r="H28" s="287">
        <f>IF(OR(TRIM($AF28)="Krank",TRIM($AF28)="Urlaub",TRIM($AF28)="Exerzitien",TRIM($AF28)="Wallfahrt",TRIM($AF28)="Arbeitsbefreiung",TRIM($AF28)="Azubi - Berufsschule",TRIM($AF28)="Azubi - Schriftliche AP",TRIM($AF28)="Azubi - Mündliche AP",TRIM($AF28)="Azubi - Zwischenprüfung",TRIM($AF28)="Azubi - Prüfungsvorbereitung"),$AA28,IF(TRIM($AF28)="Betriebsausflug",IF($Z28=$AD28,$AA28,$AA28+($Z28-$AD28)*HLOOKUP($D$6,'AZ-Modell'!$C$7:$N$44,18,0)),IF(F28&lt;&gt;"",IF(E28&gt;F28,1-(E28-F28)-G28,F28-E28-G28),0)))</f>
        <v>0</v>
      </c>
      <c r="I28" s="285" t="str">
        <f t="shared" si="5"/>
        <v/>
      </c>
      <c r="J28" s="286"/>
      <c r="K28" s="286"/>
      <c r="L28" s="286"/>
      <c r="M28" s="287">
        <f>IF(OR(TRIM($AF28)="Krank",TRIM($AF28)="Urlaub",TRIM($AF28)="Exerzitien",TRIM($AF28)="Wallfahrt",TRIM($AF28)="Arbeitsbefreiung",TRIM($AF28)="Azubi - Berufsschule",TRIM($AF28)="Azubi - Schriftliche AP",TRIM($AF28)="Azubi - Mündliche AP",TRIM($AF28)="Azubi - Zwischenprüfung",TRIM($AF28)="Azubi - Prüfungsvorbereitung"),$AB28,IF(TRIM($AF28)="Betriebsausflug",IF($Z28=$AD28,$AB28,$AB28+($Z28-$AD28)*HLOOKUP($D$6,'AZ-Modell'!$C$7:$N$44,28,0)),IF(TRIM($AF28)="Namenstag",MAX((4/39)*HLOOKUP($D$6,'AZ-Modell'!$C$7:$N$13,5,0),1/24)+IF(K28&lt;&gt;"",IF(J28&gt;K28,1-(J28-K28)-L28,K28-J28-L28),0),IF(K28&lt;&gt;"",IF(J28&gt;K28,1-(J28-K28)-L28,K28-J28-L28),0))))</f>
        <v>0</v>
      </c>
      <c r="N28" s="285" t="str">
        <f t="shared" si="6"/>
        <v/>
      </c>
      <c r="O28" s="286"/>
      <c r="P28" s="286"/>
      <c r="Q28" s="286"/>
      <c r="R28" s="287">
        <f>IF(OR(TRIM($AF28)="Krank",TRIM($AF28)="Urlaub",TRIM($AF28)="Exerzitien",TRIM($AF28)="Wallfahrt",TRIM($AF28)="Arbeitsbefreiung",TRIM($AF28)="Azubi - Berufsschule",TRIM($AF28)="Azubi - Schriftliche AP",TRIM($AF28)="Azubi - Mündliche AP",TRIM($AF28)="Azubi - Zwischenprüfung",TRIM($AF28)="Azubi - Prüfungsvorbereitung"),$AC28,IF(TRIM($AF28)="Betriebsausflug",IF($Z28=$AD28,$AC28,$AC28+($Z28-$AD28)*HLOOKUP($D$6,'AZ-Modell'!$C$7:$N$44,38,0)),IF(P28&lt;&gt;"",IF(O28&gt;P28,1-(O28-P28)-Q28,P28-O28-Q28),0)))</f>
        <v>0</v>
      </c>
      <c r="S28" s="285"/>
      <c r="T28" s="286"/>
      <c r="U28" s="286"/>
      <c r="V28" s="288">
        <f>ROUNDUP(($T28)*IF($U28&lt;&gt;0,$U28,IF(COUNT($T$9:$T28)&lt;8,20%,25%))*24/5,2)*5/24</f>
        <v>0</v>
      </c>
      <c r="W28" s="285"/>
      <c r="X28" s="289">
        <v>0</v>
      </c>
      <c r="Y28" s="290">
        <f t="shared" si="1"/>
        <v>0</v>
      </c>
      <c r="Z28" s="291">
        <f>IF(OR(TRIM($AF28)="Krank",TRIM($AF28)="Urlaub",TRIM($AF28)="Exerzitien",TRIM($AF28)="Wallfahrt",TRIM($AF28)="Arbeitsbefreiung"),$AD28,IF(OR(TRIM($AF28)="Azubi - Berufsschule",TRIM($AF28)="Azubi - Schriftliche AP",TRIM($AF28)="Azubi - Mündliche AP",TRIM($AF28)="Azubi - Zwischenprüfung",TRIM($AF28)="Azubi - Prüfungsvorbereitung"),VLOOKUP($AF28,Grunddaten!$F$26:$I$31,4,0),IF(TRIM($AF28)="Betriebsausflug",MAX(AD28,(7.8/39)*HLOOKUP($D$6,'AZ-Modell'!$C$7:$N$13,5,0),1/24),IF(AND(OR(TRIM($AF28)="Fortbildung",TRIM($AF28)="Dienstreise"),(+$H28+$M28+$R28+$V28)&lt;$AD28),$AD28,IF(AND(OR(TRIM($AF28)="Fortbildung",TRIM($AF28)="Dienstreise"),$X28&gt;0,(+$H28+$M28+$R28+$V28)&gt;10/24),10/24,$H28+$M28+$R28+$V28)))))</f>
        <v>0</v>
      </c>
      <c r="AA28" s="291">
        <f>IF(AND($C28&gt;=Grunddaten!$C$30,ISERROR(VLOOKUP($C28,Grunddaten!$F$36:$F$59,1,0)),ISERROR(VLOOKUP(TRIM($AF28),Grunddaten!$F$26:$F$26,1,0))),INDEX('AZ-Modell'!$C$16:$N$22,IF(WEEKDAY($C28)=1,7,WEEKDAY($C28)-1),MONTH($C28)),IF(TRIM($AF28)="Dienst (Feiertag)",IFERROR(VLOOKUP($C28,Grunddaten!$F$36:$I$59,4,0),0),0))</f>
        <v>0.32500000000000001</v>
      </c>
      <c r="AB28" s="291">
        <f>IF(AND($C28&gt;=Grunddaten!$C$30,ISERROR(VLOOKUP($C28,Grunddaten!$F$36:$F$59,1,0)),ISERROR(VLOOKUP(TRIM($AF28),Grunddaten!$F$26:$F$26,1,0))),INDEX('AZ-Modell'!$C$26:$N$32,IF(WEEKDAY($C28)=1,7,WEEKDAY($C28)-1),MONTH($C28)),IF(TRIM($AF28)="Dienst (Feiertag)",IFERROR(VLOOKUP($C28,Grunddaten!$F$36:$I$59,4,0),0),0))</f>
        <v>0</v>
      </c>
      <c r="AC28" s="291">
        <f>IF(AND($C28&gt;=Grunddaten!$C$30,ISERROR(VLOOKUP($C28,Grunddaten!$F$36:$F$59,1,0)),ISERROR(VLOOKUP(TRIM($AF28),Grunddaten!$F$26:$F$26,1,0))),INDEX('AZ-Modell'!$C$36:$N$42,IF(WEEKDAY($C28)=1,7,WEEKDAY($C28)-1),MONTH($C28)),IF(TRIM($AF28)="Dienst (Feiertag)",IFERROR(VLOOKUP($C28,Grunddaten!$F$36:$I$59,4,0),0),0))</f>
        <v>0</v>
      </c>
      <c r="AD28" s="291">
        <f t="shared" si="7"/>
        <v>0.32500000000000001</v>
      </c>
      <c r="AE28" s="290">
        <f t="shared" si="11"/>
        <v>-740.99999999999955</v>
      </c>
      <c r="AF28" s="292" t="str">
        <f>IFERROR(VLOOKUP($C28,Grunddaten!$F$36:$G$59,2,0),"")</f>
        <v/>
      </c>
      <c r="AG28" s="293"/>
      <c r="AH28" s="286">
        <v>0</v>
      </c>
      <c r="AI28" s="291">
        <f t="shared" si="8"/>
        <v>0</v>
      </c>
      <c r="AJ28" s="292"/>
      <c r="AK28" s="291">
        <f>IF(OR(TRIM($AF28)="Krank",TRIM($AF28)="Urlaub",TRIM($AF28)="Exerzitien",TRIM($AF28)="Regenerationstag",TRIM($AF28)="Wallfahrt",TRIM($AF28)="Arbeitsbefreiung",TRIM($AF28)="Umwandlungstag"),$AD28,IF(OR(TRIM($AF28)="Azubi - Berufsschule",TRIM($AF28)="Azubi - Schriftliche AP",TRIM($AF28)="Azubi - Mündliche AP",TRIM($AF28)="Azubi - Zwischenprüfung",TRIM($AF28)="Azubi - Prüfungsvorbereitung"),VLOOKUP($AF28,Grunddaten!$F$26:$I$31,4,0),IF(TRIM($AF28)="Namenstag",MAX((4/39)*HLOOKUP($D$6,'AZ-Modell'!$C$7:$N$13,5,0),1/24)+$H28+$M28+$R28+$V28,IF(TRIM($AF28)="Betriebsausflug",MAX(AD28,(7.8/39)*HLOOKUP($D$6,'AZ-Modell'!$C$7:$N$13,5,0),1/24),$H28+$M28+$R28+$V28))))</f>
        <v>0</v>
      </c>
      <c r="AL28" s="291">
        <f t="shared" si="2"/>
        <v>0</v>
      </c>
      <c r="AM28" s="291">
        <f>ROUND(IF(OR(TRIM($AF28)="Krank",TRIM($AF28)="Urlaub",TRIM($AF28)="Exerzitien",TRIM($AF28)="Wallfahrt",TRIM($AF28)="Arbeitsbefreiung",TRIM($AF28)="AZV",TRIM($AF28)="Betriebsausflug",TRIM($AF28)="Namenstag",TRIM($AF28)="Azubi - Berufsschule",TRIM($AF28)="Azubi - Schriftliche AP",TRIM($AF28)="Azubi - Mündliche AP",TRIM($AF28)="Azubi - Zwischenprüfung",TRIM($AF28)="Azubi - Prüfungsvorbereitung"),0,IF((DAYS360(Grunddaten!$C$25,$C28)/360&gt;=18),IF((($H28+$M28+$R28+$T28)*24)&lt;=6,0,IF(AND((($H28+$M28+$R28+$T28)*24)&gt;6,(($H28+$M28+$R28+$T28)*24)&lt;=9),0.5/24,0.75/24)),IF((($H28+$M28+$R28+$T28)*24)&lt;=4.5,0,IF(AND((($H28+$M28+$R28+$T28)*24)&gt;4.5,(($H28+$M28+$R28+$T28)*24)&lt;=6),0.5/24,1/24)))),5)</f>
        <v>0</v>
      </c>
      <c r="AN28" s="332" t="str">
        <f t="shared" si="9"/>
        <v>R</v>
      </c>
    </row>
    <row r="29" spans="1:40" s="294" customFormat="1" ht="21" customHeight="1" x14ac:dyDescent="0.35">
      <c r="A29" s="331">
        <f t="shared" si="3"/>
        <v>21</v>
      </c>
      <c r="B29" s="283" t="str">
        <f t="shared" si="4"/>
        <v>Mi.</v>
      </c>
      <c r="C29" s="295">
        <f t="shared" si="10"/>
        <v>45798</v>
      </c>
      <c r="D29" s="285" t="str">
        <f t="shared" si="0"/>
        <v/>
      </c>
      <c r="E29" s="286"/>
      <c r="F29" s="286"/>
      <c r="G29" s="286"/>
      <c r="H29" s="287">
        <f>IF(OR(TRIM($AF29)="Krank",TRIM($AF29)="Urlaub",TRIM($AF29)="Exerzitien",TRIM($AF29)="Wallfahrt",TRIM($AF29)="Arbeitsbefreiung",TRIM($AF29)="Azubi - Berufsschule",TRIM($AF29)="Azubi - Schriftliche AP",TRIM($AF29)="Azubi - Mündliche AP",TRIM($AF29)="Azubi - Zwischenprüfung",TRIM($AF29)="Azubi - Prüfungsvorbereitung"),$AA29,IF(TRIM($AF29)="Betriebsausflug",IF($Z29=$AD29,$AA29,$AA29+($Z29-$AD29)*HLOOKUP($D$6,'AZ-Modell'!$C$7:$N$44,18,0)),IF(F29&lt;&gt;"",IF(E29&gt;F29,1-(E29-F29)-G29,F29-E29-G29),0)))</f>
        <v>0</v>
      </c>
      <c r="I29" s="285" t="str">
        <f t="shared" si="5"/>
        <v/>
      </c>
      <c r="J29" s="286"/>
      <c r="K29" s="286"/>
      <c r="L29" s="286"/>
      <c r="M29" s="287">
        <f>IF(OR(TRIM($AF29)="Krank",TRIM($AF29)="Urlaub",TRIM($AF29)="Exerzitien",TRIM($AF29)="Wallfahrt",TRIM($AF29)="Arbeitsbefreiung",TRIM($AF29)="Azubi - Berufsschule",TRIM($AF29)="Azubi - Schriftliche AP",TRIM($AF29)="Azubi - Mündliche AP",TRIM($AF29)="Azubi - Zwischenprüfung",TRIM($AF29)="Azubi - Prüfungsvorbereitung"),$AB29,IF(TRIM($AF29)="Betriebsausflug",IF($Z29=$AD29,$AB29,$AB29+($Z29-$AD29)*HLOOKUP($D$6,'AZ-Modell'!$C$7:$N$44,28,0)),IF(TRIM($AF29)="Namenstag",MAX((4/39)*HLOOKUP($D$6,'AZ-Modell'!$C$7:$N$13,5,0),1/24)+IF(K29&lt;&gt;"",IF(J29&gt;K29,1-(J29-K29)-L29,K29-J29-L29),0),IF(K29&lt;&gt;"",IF(J29&gt;K29,1-(J29-K29)-L29,K29-J29-L29),0))))</f>
        <v>0</v>
      </c>
      <c r="N29" s="285" t="str">
        <f t="shared" si="6"/>
        <v/>
      </c>
      <c r="O29" s="286"/>
      <c r="P29" s="286"/>
      <c r="Q29" s="286"/>
      <c r="R29" s="287">
        <f>IF(OR(TRIM($AF29)="Krank",TRIM($AF29)="Urlaub",TRIM($AF29)="Exerzitien",TRIM($AF29)="Wallfahrt",TRIM($AF29)="Arbeitsbefreiung",TRIM($AF29)="Azubi - Berufsschule",TRIM($AF29)="Azubi - Schriftliche AP",TRIM($AF29)="Azubi - Mündliche AP",TRIM($AF29)="Azubi - Zwischenprüfung",TRIM($AF29)="Azubi - Prüfungsvorbereitung"),$AC29,IF(TRIM($AF29)="Betriebsausflug",IF($Z29=$AD29,$AC29,$AC29+($Z29-$AD29)*HLOOKUP($D$6,'AZ-Modell'!$C$7:$N$44,38,0)),IF(P29&lt;&gt;"",IF(O29&gt;P29,1-(O29-P29)-Q29,P29-O29-Q29),0)))</f>
        <v>0</v>
      </c>
      <c r="S29" s="285"/>
      <c r="T29" s="286"/>
      <c r="U29" s="286"/>
      <c r="V29" s="288">
        <f>ROUNDUP(($T29)*IF($U29&lt;&gt;0,$U29,IF(COUNT($T$9:$T29)&lt;8,20%,25%))*24/5,2)*5/24</f>
        <v>0</v>
      </c>
      <c r="W29" s="285"/>
      <c r="X29" s="289">
        <v>0</v>
      </c>
      <c r="Y29" s="290">
        <f t="shared" si="1"/>
        <v>0</v>
      </c>
      <c r="Z29" s="291">
        <f>IF(OR(TRIM($AF29)="Krank",TRIM($AF29)="Urlaub",TRIM($AF29)="Exerzitien",TRIM($AF29)="Wallfahrt",TRIM($AF29)="Arbeitsbefreiung"),$AD29,IF(OR(TRIM($AF29)="Azubi - Berufsschule",TRIM($AF29)="Azubi - Schriftliche AP",TRIM($AF29)="Azubi - Mündliche AP",TRIM($AF29)="Azubi - Zwischenprüfung",TRIM($AF29)="Azubi - Prüfungsvorbereitung"),VLOOKUP($AF29,Grunddaten!$F$26:$I$31,4,0),IF(TRIM($AF29)="Betriebsausflug",MAX(AD29,(7.8/39)*HLOOKUP($D$6,'AZ-Modell'!$C$7:$N$13,5,0),1/24),IF(AND(OR(TRIM($AF29)="Fortbildung",TRIM($AF29)="Dienstreise"),(+$H29+$M29+$R29+$V29)&lt;$AD29),$AD29,IF(AND(OR(TRIM($AF29)="Fortbildung",TRIM($AF29)="Dienstreise"),$X29&gt;0,(+$H29+$M29+$R29+$V29)&gt;10/24),10/24,$H29+$M29+$R29+$V29)))))</f>
        <v>0</v>
      </c>
      <c r="AA29" s="291">
        <f>IF(AND($C29&gt;=Grunddaten!$C$30,ISERROR(VLOOKUP($C29,Grunddaten!$F$36:$F$59,1,0)),ISERROR(VLOOKUP(TRIM($AF29),Grunddaten!$F$26:$F$26,1,0))),INDEX('AZ-Modell'!$C$16:$N$22,IF(WEEKDAY($C29)=1,7,WEEKDAY($C29)-1),MONTH($C29)),IF(TRIM($AF29)="Dienst (Feiertag)",IFERROR(VLOOKUP($C29,Grunddaten!$F$36:$I$59,4,0),0),0))</f>
        <v>0.32500000000000001</v>
      </c>
      <c r="AB29" s="291">
        <f>IF(AND($C29&gt;=Grunddaten!$C$30,ISERROR(VLOOKUP($C29,Grunddaten!$F$36:$F$59,1,0)),ISERROR(VLOOKUP(TRIM($AF29),Grunddaten!$F$26:$F$26,1,0))),INDEX('AZ-Modell'!$C$26:$N$32,IF(WEEKDAY($C29)=1,7,WEEKDAY($C29)-1),MONTH($C29)),IF(TRIM($AF29)="Dienst (Feiertag)",IFERROR(VLOOKUP($C29,Grunddaten!$F$36:$I$59,4,0),0),0))</f>
        <v>0</v>
      </c>
      <c r="AC29" s="291">
        <f>IF(AND($C29&gt;=Grunddaten!$C$30,ISERROR(VLOOKUP($C29,Grunddaten!$F$36:$F$59,1,0)),ISERROR(VLOOKUP(TRIM($AF29),Grunddaten!$F$26:$F$26,1,0))),INDEX('AZ-Modell'!$C$36:$N$42,IF(WEEKDAY($C29)=1,7,WEEKDAY($C29)-1),MONTH($C29)),IF(TRIM($AF29)="Dienst (Feiertag)",IFERROR(VLOOKUP($C29,Grunddaten!$F$36:$I$59,4,0),0),0))</f>
        <v>0</v>
      </c>
      <c r="AD29" s="291">
        <f t="shared" si="7"/>
        <v>0.32500000000000001</v>
      </c>
      <c r="AE29" s="290">
        <f t="shared" si="11"/>
        <v>-748.7999999999995</v>
      </c>
      <c r="AF29" s="292" t="str">
        <f>IFERROR(VLOOKUP($C29,Grunddaten!$F$36:$G$59,2,0),"")</f>
        <v/>
      </c>
      <c r="AG29" s="293"/>
      <c r="AH29" s="286">
        <v>0</v>
      </c>
      <c r="AI29" s="291">
        <f t="shared" si="8"/>
        <v>0</v>
      </c>
      <c r="AJ29" s="292"/>
      <c r="AK29" s="291">
        <f>IF(OR(TRIM($AF29)="Krank",TRIM($AF29)="Urlaub",TRIM($AF29)="Exerzitien",TRIM($AF29)="Regenerationstag",TRIM($AF29)="Wallfahrt",TRIM($AF29)="Arbeitsbefreiung",TRIM($AF29)="Umwandlungstag"),$AD29,IF(OR(TRIM($AF29)="Azubi - Berufsschule",TRIM($AF29)="Azubi - Schriftliche AP",TRIM($AF29)="Azubi - Mündliche AP",TRIM($AF29)="Azubi - Zwischenprüfung",TRIM($AF29)="Azubi - Prüfungsvorbereitung"),VLOOKUP($AF29,Grunddaten!$F$26:$I$31,4,0),IF(TRIM($AF29)="Namenstag",MAX((4/39)*HLOOKUP($D$6,'AZ-Modell'!$C$7:$N$13,5,0),1/24)+$H29+$M29+$R29+$V29,IF(TRIM($AF29)="Betriebsausflug",MAX(AD29,(7.8/39)*HLOOKUP($D$6,'AZ-Modell'!$C$7:$N$13,5,0),1/24),$H29+$M29+$R29+$V29))))</f>
        <v>0</v>
      </c>
      <c r="AL29" s="291">
        <f t="shared" si="2"/>
        <v>0</v>
      </c>
      <c r="AM29" s="291">
        <f>ROUND(IF(OR(TRIM($AF29)="Krank",TRIM($AF29)="Urlaub",TRIM($AF29)="Exerzitien",TRIM($AF29)="Wallfahrt",TRIM($AF29)="Arbeitsbefreiung",TRIM($AF29)="AZV",TRIM($AF29)="Betriebsausflug",TRIM($AF29)="Namenstag",TRIM($AF29)="Azubi - Berufsschule",TRIM($AF29)="Azubi - Schriftliche AP",TRIM($AF29)="Azubi - Mündliche AP",TRIM($AF29)="Azubi - Zwischenprüfung",TRIM($AF29)="Azubi - Prüfungsvorbereitung"),0,IF((DAYS360(Grunddaten!$C$25,$C29)/360&gt;=18),IF((($H29+$M29+$R29+$T29)*24)&lt;=6,0,IF(AND((($H29+$M29+$R29+$T29)*24)&gt;6,(($H29+$M29+$R29+$T29)*24)&lt;=9),0.5/24,0.75/24)),IF((($H29+$M29+$R29+$T29)*24)&lt;=4.5,0,IF(AND((($H29+$M29+$R29+$T29)*24)&gt;4.5,(($H29+$M29+$R29+$T29)*24)&lt;=6),0.5/24,1/24)))),5)</f>
        <v>0</v>
      </c>
      <c r="AN29" s="332" t="str">
        <f t="shared" si="9"/>
        <v>R</v>
      </c>
    </row>
    <row r="30" spans="1:40" s="294" customFormat="1" ht="21" customHeight="1" x14ac:dyDescent="0.35">
      <c r="A30" s="331">
        <f t="shared" si="3"/>
        <v>21</v>
      </c>
      <c r="B30" s="283" t="str">
        <f t="shared" si="4"/>
        <v>Do.</v>
      </c>
      <c r="C30" s="295">
        <f t="shared" si="10"/>
        <v>45799</v>
      </c>
      <c r="D30" s="285" t="str">
        <f t="shared" si="0"/>
        <v/>
      </c>
      <c r="E30" s="286"/>
      <c r="F30" s="286"/>
      <c r="G30" s="286"/>
      <c r="H30" s="287">
        <f>IF(OR(TRIM($AF30)="Krank",TRIM($AF30)="Urlaub",TRIM($AF30)="Exerzitien",TRIM($AF30)="Wallfahrt",TRIM($AF30)="Arbeitsbefreiung",TRIM($AF30)="Azubi - Berufsschule",TRIM($AF30)="Azubi - Schriftliche AP",TRIM($AF30)="Azubi - Mündliche AP",TRIM($AF30)="Azubi - Zwischenprüfung",TRIM($AF30)="Azubi - Prüfungsvorbereitung"),$AA30,IF(TRIM($AF30)="Betriebsausflug",IF($Z30=$AD30,$AA30,$AA30+($Z30-$AD30)*HLOOKUP($D$6,'AZ-Modell'!$C$7:$N$44,18,0)),IF(F30&lt;&gt;"",IF(E30&gt;F30,1-(E30-F30)-G30,F30-E30-G30),0)))</f>
        <v>0</v>
      </c>
      <c r="I30" s="285" t="str">
        <f t="shared" si="5"/>
        <v/>
      </c>
      <c r="J30" s="286"/>
      <c r="K30" s="286"/>
      <c r="L30" s="286"/>
      <c r="M30" s="287">
        <f>IF(OR(TRIM($AF30)="Krank",TRIM($AF30)="Urlaub",TRIM($AF30)="Exerzitien",TRIM($AF30)="Wallfahrt",TRIM($AF30)="Arbeitsbefreiung",TRIM($AF30)="Azubi - Berufsschule",TRIM($AF30)="Azubi - Schriftliche AP",TRIM($AF30)="Azubi - Mündliche AP",TRIM($AF30)="Azubi - Zwischenprüfung",TRIM($AF30)="Azubi - Prüfungsvorbereitung"),$AB30,IF(TRIM($AF30)="Betriebsausflug",IF($Z30=$AD30,$AB30,$AB30+($Z30-$AD30)*HLOOKUP($D$6,'AZ-Modell'!$C$7:$N$44,28,0)),IF(TRIM($AF30)="Namenstag",MAX((4/39)*HLOOKUP($D$6,'AZ-Modell'!$C$7:$N$13,5,0),1/24)+IF(K30&lt;&gt;"",IF(J30&gt;K30,1-(J30-K30)-L30,K30-J30-L30),0),IF(K30&lt;&gt;"",IF(J30&gt;K30,1-(J30-K30)-L30,K30-J30-L30),0))))</f>
        <v>0</v>
      </c>
      <c r="N30" s="285" t="str">
        <f t="shared" si="6"/>
        <v/>
      </c>
      <c r="O30" s="286"/>
      <c r="P30" s="286"/>
      <c r="Q30" s="286"/>
      <c r="R30" s="287">
        <f>IF(OR(TRIM($AF30)="Krank",TRIM($AF30)="Urlaub",TRIM($AF30)="Exerzitien",TRIM($AF30)="Wallfahrt",TRIM($AF30)="Arbeitsbefreiung",TRIM($AF30)="Azubi - Berufsschule",TRIM($AF30)="Azubi - Schriftliche AP",TRIM($AF30)="Azubi - Mündliche AP",TRIM($AF30)="Azubi - Zwischenprüfung",TRIM($AF30)="Azubi - Prüfungsvorbereitung"),$AC30,IF(TRIM($AF30)="Betriebsausflug",IF($Z30=$AD30,$AC30,$AC30+($Z30-$AD30)*HLOOKUP($D$6,'AZ-Modell'!$C$7:$N$44,38,0)),IF(P30&lt;&gt;"",IF(O30&gt;P30,1-(O30-P30)-Q30,P30-O30-Q30),0)))</f>
        <v>0</v>
      </c>
      <c r="S30" s="285"/>
      <c r="T30" s="286"/>
      <c r="U30" s="286"/>
      <c r="V30" s="288">
        <f>ROUNDUP(($T30)*IF($U30&lt;&gt;0,$U30,IF(COUNT($T$9:$T30)&lt;8,20%,25%))*24/5,2)*5/24</f>
        <v>0</v>
      </c>
      <c r="W30" s="285"/>
      <c r="X30" s="289">
        <v>0</v>
      </c>
      <c r="Y30" s="290">
        <f t="shared" si="1"/>
        <v>0</v>
      </c>
      <c r="Z30" s="291">
        <f>IF(OR(TRIM($AF30)="Krank",TRIM($AF30)="Urlaub",TRIM($AF30)="Exerzitien",TRIM($AF30)="Wallfahrt",TRIM($AF30)="Arbeitsbefreiung"),$AD30,IF(OR(TRIM($AF30)="Azubi - Berufsschule",TRIM($AF30)="Azubi - Schriftliche AP",TRIM($AF30)="Azubi - Mündliche AP",TRIM($AF30)="Azubi - Zwischenprüfung",TRIM($AF30)="Azubi - Prüfungsvorbereitung"),VLOOKUP($AF30,Grunddaten!$F$26:$I$31,4,0),IF(TRIM($AF30)="Betriebsausflug",MAX(AD30,(7.8/39)*HLOOKUP($D$6,'AZ-Modell'!$C$7:$N$13,5,0),1/24),IF(AND(OR(TRIM($AF30)="Fortbildung",TRIM($AF30)="Dienstreise"),(+$H30+$M30+$R30+$V30)&lt;$AD30),$AD30,IF(AND(OR(TRIM($AF30)="Fortbildung",TRIM($AF30)="Dienstreise"),$X30&gt;0,(+$H30+$M30+$R30+$V30)&gt;10/24),10/24,$H30+$M30+$R30+$V30)))))</f>
        <v>0</v>
      </c>
      <c r="AA30" s="291">
        <f>IF(AND($C30&gt;=Grunddaten!$C$30,ISERROR(VLOOKUP($C30,Grunddaten!$F$36:$F$59,1,0)),ISERROR(VLOOKUP(TRIM($AF30),Grunddaten!$F$26:$F$26,1,0))),INDEX('AZ-Modell'!$C$16:$N$22,IF(WEEKDAY($C30)=1,7,WEEKDAY($C30)-1),MONTH($C30)),IF(TRIM($AF30)="Dienst (Feiertag)",IFERROR(VLOOKUP($C30,Grunddaten!$F$36:$I$59,4,0),0),0))</f>
        <v>0.32500000000000001</v>
      </c>
      <c r="AB30" s="291">
        <f>IF(AND($C30&gt;=Grunddaten!$C$30,ISERROR(VLOOKUP($C30,Grunddaten!$F$36:$F$59,1,0)),ISERROR(VLOOKUP(TRIM($AF30),Grunddaten!$F$26:$F$26,1,0))),INDEX('AZ-Modell'!$C$26:$N$32,IF(WEEKDAY($C30)=1,7,WEEKDAY($C30)-1),MONTH($C30)),IF(TRIM($AF30)="Dienst (Feiertag)",IFERROR(VLOOKUP($C30,Grunddaten!$F$36:$I$59,4,0),0),0))</f>
        <v>0</v>
      </c>
      <c r="AC30" s="291">
        <f>IF(AND($C30&gt;=Grunddaten!$C$30,ISERROR(VLOOKUP($C30,Grunddaten!$F$36:$F$59,1,0)),ISERROR(VLOOKUP(TRIM($AF30),Grunddaten!$F$26:$F$26,1,0))),INDEX('AZ-Modell'!$C$36:$N$42,IF(WEEKDAY($C30)=1,7,WEEKDAY($C30)-1),MONTH($C30)),IF(TRIM($AF30)="Dienst (Feiertag)",IFERROR(VLOOKUP($C30,Grunddaten!$F$36:$I$59,4,0),0),0))</f>
        <v>0</v>
      </c>
      <c r="AD30" s="291">
        <f t="shared" si="7"/>
        <v>0.32500000000000001</v>
      </c>
      <c r="AE30" s="290">
        <f t="shared" si="11"/>
        <v>-756.59999999999945</v>
      </c>
      <c r="AF30" s="292" t="str">
        <f>IFERROR(VLOOKUP($C30,Grunddaten!$F$36:$G$59,2,0),"")</f>
        <v/>
      </c>
      <c r="AG30" s="293"/>
      <c r="AH30" s="286">
        <v>0</v>
      </c>
      <c r="AI30" s="291">
        <f t="shared" si="8"/>
        <v>0</v>
      </c>
      <c r="AJ30" s="292"/>
      <c r="AK30" s="291">
        <f>IF(OR(TRIM($AF30)="Krank",TRIM($AF30)="Urlaub",TRIM($AF30)="Exerzitien",TRIM($AF30)="Regenerationstag",TRIM($AF30)="Wallfahrt",TRIM($AF30)="Arbeitsbefreiung",TRIM($AF30)="Umwandlungstag"),$AD30,IF(OR(TRIM($AF30)="Azubi - Berufsschule",TRIM($AF30)="Azubi - Schriftliche AP",TRIM($AF30)="Azubi - Mündliche AP",TRIM($AF30)="Azubi - Zwischenprüfung",TRIM($AF30)="Azubi - Prüfungsvorbereitung"),VLOOKUP($AF30,Grunddaten!$F$26:$I$31,4,0),IF(TRIM($AF30)="Namenstag",MAX((4/39)*HLOOKUP($D$6,'AZ-Modell'!$C$7:$N$13,5,0),1/24)+$H30+$M30+$R30+$V30,IF(TRIM($AF30)="Betriebsausflug",MAX(AD30,(7.8/39)*HLOOKUP($D$6,'AZ-Modell'!$C$7:$N$13,5,0),1/24),$H30+$M30+$R30+$V30))))</f>
        <v>0</v>
      </c>
      <c r="AL30" s="291">
        <f t="shared" si="2"/>
        <v>0</v>
      </c>
      <c r="AM30" s="291">
        <f>ROUND(IF(OR(TRIM($AF30)="Krank",TRIM($AF30)="Urlaub",TRIM($AF30)="Exerzitien",TRIM($AF30)="Wallfahrt",TRIM($AF30)="Arbeitsbefreiung",TRIM($AF30)="AZV",TRIM($AF30)="Betriebsausflug",TRIM($AF30)="Namenstag",TRIM($AF30)="Azubi - Berufsschule",TRIM($AF30)="Azubi - Schriftliche AP",TRIM($AF30)="Azubi - Mündliche AP",TRIM($AF30)="Azubi - Zwischenprüfung",TRIM($AF30)="Azubi - Prüfungsvorbereitung"),0,IF((DAYS360(Grunddaten!$C$25,$C30)/360&gt;=18),IF((($H30+$M30+$R30+$T30)*24)&lt;=6,0,IF(AND((($H30+$M30+$R30+$T30)*24)&gt;6,(($H30+$M30+$R30+$T30)*24)&lt;=9),0.5/24,0.75/24)),IF((($H30+$M30+$R30+$T30)*24)&lt;=4.5,0,IF(AND((($H30+$M30+$R30+$T30)*24)&gt;4.5,(($H30+$M30+$R30+$T30)*24)&lt;=6),0.5/24,1/24)))),5)</f>
        <v>0</v>
      </c>
      <c r="AN30" s="332" t="str">
        <f t="shared" si="9"/>
        <v>R</v>
      </c>
    </row>
    <row r="31" spans="1:40" s="294" customFormat="1" ht="21" customHeight="1" x14ac:dyDescent="0.35">
      <c r="A31" s="331">
        <f t="shared" si="3"/>
        <v>21</v>
      </c>
      <c r="B31" s="283" t="str">
        <f t="shared" si="4"/>
        <v>Fr.</v>
      </c>
      <c r="C31" s="295">
        <f t="shared" si="10"/>
        <v>45800</v>
      </c>
      <c r="D31" s="285" t="str">
        <f t="shared" si="0"/>
        <v/>
      </c>
      <c r="E31" s="286"/>
      <c r="F31" s="286"/>
      <c r="G31" s="286"/>
      <c r="H31" s="287">
        <f>IF(OR(TRIM($AF31)="Krank",TRIM($AF31)="Urlaub",TRIM($AF31)="Exerzitien",TRIM($AF31)="Wallfahrt",TRIM($AF31)="Arbeitsbefreiung",TRIM($AF31)="Azubi - Berufsschule",TRIM($AF31)="Azubi - Schriftliche AP",TRIM($AF31)="Azubi - Mündliche AP",TRIM($AF31)="Azubi - Zwischenprüfung",TRIM($AF31)="Azubi - Prüfungsvorbereitung"),$AA31,IF(TRIM($AF31)="Betriebsausflug",IF($Z31=$AD31,$AA31,$AA31+($Z31-$AD31)*HLOOKUP($D$6,'AZ-Modell'!$C$7:$N$44,18,0)),IF(F31&lt;&gt;"",IF(E31&gt;F31,1-(E31-F31)-G31,F31-E31-G31),0)))</f>
        <v>0</v>
      </c>
      <c r="I31" s="285" t="str">
        <f t="shared" si="5"/>
        <v/>
      </c>
      <c r="J31" s="286"/>
      <c r="K31" s="286"/>
      <c r="L31" s="286"/>
      <c r="M31" s="287">
        <f>IF(OR(TRIM($AF31)="Krank",TRIM($AF31)="Urlaub",TRIM($AF31)="Exerzitien",TRIM($AF31)="Wallfahrt",TRIM($AF31)="Arbeitsbefreiung",TRIM($AF31)="Azubi - Berufsschule",TRIM($AF31)="Azubi - Schriftliche AP",TRIM($AF31)="Azubi - Mündliche AP",TRIM($AF31)="Azubi - Zwischenprüfung",TRIM($AF31)="Azubi - Prüfungsvorbereitung"),$AB31,IF(TRIM($AF31)="Betriebsausflug",IF($Z31=$AD31,$AB31,$AB31+($Z31-$AD31)*HLOOKUP($D$6,'AZ-Modell'!$C$7:$N$44,28,0)),IF(TRIM($AF31)="Namenstag",MAX((4/39)*HLOOKUP($D$6,'AZ-Modell'!$C$7:$N$13,5,0),1/24)+IF(K31&lt;&gt;"",IF(J31&gt;K31,1-(J31-K31)-L31,K31-J31-L31),0),IF(K31&lt;&gt;"",IF(J31&gt;K31,1-(J31-K31)-L31,K31-J31-L31),0))))</f>
        <v>0</v>
      </c>
      <c r="N31" s="285" t="str">
        <f t="shared" si="6"/>
        <v/>
      </c>
      <c r="O31" s="286"/>
      <c r="P31" s="286"/>
      <c r="Q31" s="286"/>
      <c r="R31" s="287">
        <f>IF(OR(TRIM($AF31)="Krank",TRIM($AF31)="Urlaub",TRIM($AF31)="Exerzitien",TRIM($AF31)="Wallfahrt",TRIM($AF31)="Arbeitsbefreiung",TRIM($AF31)="Azubi - Berufsschule",TRIM($AF31)="Azubi - Schriftliche AP",TRIM($AF31)="Azubi - Mündliche AP",TRIM($AF31)="Azubi - Zwischenprüfung",TRIM($AF31)="Azubi - Prüfungsvorbereitung"),$AC31,IF(TRIM($AF31)="Betriebsausflug",IF($Z31=$AD31,$AC31,$AC31+($Z31-$AD31)*HLOOKUP($D$6,'AZ-Modell'!$C$7:$N$44,38,0)),IF(P31&lt;&gt;"",IF(O31&gt;P31,1-(O31-P31)-Q31,P31-O31-Q31),0)))</f>
        <v>0</v>
      </c>
      <c r="S31" s="285"/>
      <c r="T31" s="286"/>
      <c r="U31" s="286"/>
      <c r="V31" s="288">
        <f>ROUNDUP(($T31)*IF($U31&lt;&gt;0,$U31,IF(COUNT($T$9:$T31)&lt;8,20%,25%))*24/5,2)*5/24</f>
        <v>0</v>
      </c>
      <c r="W31" s="285"/>
      <c r="X31" s="289">
        <v>0</v>
      </c>
      <c r="Y31" s="290">
        <f t="shared" si="1"/>
        <v>0</v>
      </c>
      <c r="Z31" s="291">
        <f>IF(OR(TRIM($AF31)="Krank",TRIM($AF31)="Urlaub",TRIM($AF31)="Exerzitien",TRIM($AF31)="Wallfahrt",TRIM($AF31)="Arbeitsbefreiung"),$AD31,IF(OR(TRIM($AF31)="Azubi - Berufsschule",TRIM($AF31)="Azubi - Schriftliche AP",TRIM($AF31)="Azubi - Mündliche AP",TRIM($AF31)="Azubi - Zwischenprüfung",TRIM($AF31)="Azubi - Prüfungsvorbereitung"),VLOOKUP($AF31,Grunddaten!$F$26:$I$31,4,0),IF(TRIM($AF31)="Betriebsausflug",MAX(AD31,(7.8/39)*HLOOKUP($D$6,'AZ-Modell'!$C$7:$N$13,5,0),1/24),IF(AND(OR(TRIM($AF31)="Fortbildung",TRIM($AF31)="Dienstreise"),(+$H31+$M31+$R31+$V31)&lt;$AD31),$AD31,IF(AND(OR(TRIM($AF31)="Fortbildung",TRIM($AF31)="Dienstreise"),$X31&gt;0,(+$H31+$M31+$R31+$V31)&gt;10/24),10/24,$H31+$M31+$R31+$V31)))))</f>
        <v>0</v>
      </c>
      <c r="AA31" s="291">
        <f>IF(AND($C31&gt;=Grunddaten!$C$30,ISERROR(VLOOKUP($C31,Grunddaten!$F$36:$F$59,1,0)),ISERROR(VLOOKUP(TRIM($AF31),Grunddaten!$F$26:$F$26,1,0))),INDEX('AZ-Modell'!$C$16:$N$22,IF(WEEKDAY($C31)=1,7,WEEKDAY($C31)-1),MONTH($C31)),IF(TRIM($AF31)="Dienst (Feiertag)",IFERROR(VLOOKUP($C31,Grunddaten!$F$36:$I$59,4,0),0),0))</f>
        <v>0.32500000000000001</v>
      </c>
      <c r="AB31" s="291">
        <f>IF(AND($C31&gt;=Grunddaten!$C$30,ISERROR(VLOOKUP($C31,Grunddaten!$F$36:$F$59,1,0)),ISERROR(VLOOKUP(TRIM($AF31),Grunddaten!$F$26:$F$26,1,0))),INDEX('AZ-Modell'!$C$26:$N$32,IF(WEEKDAY($C31)=1,7,WEEKDAY($C31)-1),MONTH($C31)),IF(TRIM($AF31)="Dienst (Feiertag)",IFERROR(VLOOKUP($C31,Grunddaten!$F$36:$I$59,4,0),0),0))</f>
        <v>0</v>
      </c>
      <c r="AC31" s="291">
        <f>IF(AND($C31&gt;=Grunddaten!$C$30,ISERROR(VLOOKUP($C31,Grunddaten!$F$36:$F$59,1,0)),ISERROR(VLOOKUP(TRIM($AF31),Grunddaten!$F$26:$F$26,1,0))),INDEX('AZ-Modell'!$C$36:$N$42,IF(WEEKDAY($C31)=1,7,WEEKDAY($C31)-1),MONTH($C31)),IF(TRIM($AF31)="Dienst (Feiertag)",IFERROR(VLOOKUP($C31,Grunddaten!$F$36:$I$59,4,0),0),0))</f>
        <v>0</v>
      </c>
      <c r="AD31" s="291">
        <f t="shared" si="7"/>
        <v>0.32500000000000001</v>
      </c>
      <c r="AE31" s="290">
        <f t="shared" si="11"/>
        <v>-764.39999999999941</v>
      </c>
      <c r="AF31" s="292" t="str">
        <f>IFERROR(VLOOKUP($C31,Grunddaten!$F$36:$G$59,2,0),"")</f>
        <v/>
      </c>
      <c r="AG31" s="293"/>
      <c r="AH31" s="286">
        <v>0</v>
      </c>
      <c r="AI31" s="291">
        <f t="shared" si="8"/>
        <v>0</v>
      </c>
      <c r="AJ31" s="292"/>
      <c r="AK31" s="291">
        <f>IF(OR(TRIM($AF31)="Krank",TRIM($AF31)="Urlaub",TRIM($AF31)="Exerzitien",TRIM($AF31)="Regenerationstag",TRIM($AF31)="Wallfahrt",TRIM($AF31)="Arbeitsbefreiung",TRIM($AF31)="Umwandlungstag"),$AD31,IF(OR(TRIM($AF31)="Azubi - Berufsschule",TRIM($AF31)="Azubi - Schriftliche AP",TRIM($AF31)="Azubi - Mündliche AP",TRIM($AF31)="Azubi - Zwischenprüfung",TRIM($AF31)="Azubi - Prüfungsvorbereitung"),VLOOKUP($AF31,Grunddaten!$F$26:$I$31,4,0),IF(TRIM($AF31)="Namenstag",MAX((4/39)*HLOOKUP($D$6,'AZ-Modell'!$C$7:$N$13,5,0),1/24)+$H31+$M31+$R31+$V31,IF(TRIM($AF31)="Betriebsausflug",MAX(AD31,(7.8/39)*HLOOKUP($D$6,'AZ-Modell'!$C$7:$N$13,5,0),1/24),$H31+$M31+$R31+$V31))))</f>
        <v>0</v>
      </c>
      <c r="AL31" s="291">
        <f t="shared" si="2"/>
        <v>0</v>
      </c>
      <c r="AM31" s="291">
        <f>ROUND(IF(OR(TRIM($AF31)="Krank",TRIM($AF31)="Urlaub",TRIM($AF31)="Exerzitien",TRIM($AF31)="Wallfahrt",TRIM($AF31)="Arbeitsbefreiung",TRIM($AF31)="AZV",TRIM($AF31)="Betriebsausflug",TRIM($AF31)="Namenstag",TRIM($AF31)="Azubi - Berufsschule",TRIM($AF31)="Azubi - Schriftliche AP",TRIM($AF31)="Azubi - Mündliche AP",TRIM($AF31)="Azubi - Zwischenprüfung",TRIM($AF31)="Azubi - Prüfungsvorbereitung"),0,IF((DAYS360(Grunddaten!$C$25,$C31)/360&gt;=18),IF((($H31+$M31+$R31+$T31)*24)&lt;=6,0,IF(AND((($H31+$M31+$R31+$T31)*24)&gt;6,(($H31+$M31+$R31+$T31)*24)&lt;=9),0.5/24,0.75/24)),IF((($H31+$M31+$R31+$T31)*24)&lt;=4.5,0,IF(AND((($H31+$M31+$R31+$T31)*24)&gt;4.5,(($H31+$M31+$R31+$T31)*24)&lt;=6),0.5/24,1/24)))),5)</f>
        <v>0</v>
      </c>
      <c r="AN31" s="332" t="str">
        <f t="shared" si="9"/>
        <v>R</v>
      </c>
    </row>
    <row r="32" spans="1:40" s="294" customFormat="1" ht="21" customHeight="1" x14ac:dyDescent="0.35">
      <c r="A32" s="331">
        <f t="shared" si="3"/>
        <v>21</v>
      </c>
      <c r="B32" s="283" t="str">
        <f t="shared" si="4"/>
        <v>Sa.</v>
      </c>
      <c r="C32" s="295">
        <f t="shared" si="10"/>
        <v>45801</v>
      </c>
      <c r="D32" s="285" t="str">
        <f t="shared" si="0"/>
        <v/>
      </c>
      <c r="E32" s="286"/>
      <c r="F32" s="286"/>
      <c r="G32" s="286"/>
      <c r="H32" s="287">
        <f>IF(OR(TRIM($AF32)="Krank",TRIM($AF32)="Urlaub",TRIM($AF32)="Exerzitien",TRIM($AF32)="Wallfahrt",TRIM($AF32)="Arbeitsbefreiung",TRIM($AF32)="Azubi - Berufsschule",TRIM($AF32)="Azubi - Schriftliche AP",TRIM($AF32)="Azubi - Mündliche AP",TRIM($AF32)="Azubi - Zwischenprüfung",TRIM($AF32)="Azubi - Prüfungsvorbereitung"),$AA32,IF(TRIM($AF32)="Betriebsausflug",IF($Z32=$AD32,$AA32,$AA32+($Z32-$AD32)*HLOOKUP($D$6,'AZ-Modell'!$C$7:$N$44,18,0)),IF(F32&lt;&gt;"",IF(E32&gt;F32,1-(E32-F32)-G32,F32-E32-G32),0)))</f>
        <v>0</v>
      </c>
      <c r="I32" s="285" t="str">
        <f t="shared" si="5"/>
        <v/>
      </c>
      <c r="J32" s="286"/>
      <c r="K32" s="286"/>
      <c r="L32" s="286"/>
      <c r="M32" s="287">
        <f>IF(OR(TRIM($AF32)="Krank",TRIM($AF32)="Urlaub",TRIM($AF32)="Exerzitien",TRIM($AF32)="Wallfahrt",TRIM($AF32)="Arbeitsbefreiung",TRIM($AF32)="Azubi - Berufsschule",TRIM($AF32)="Azubi - Schriftliche AP",TRIM($AF32)="Azubi - Mündliche AP",TRIM($AF32)="Azubi - Zwischenprüfung",TRIM($AF32)="Azubi - Prüfungsvorbereitung"),$AB32,IF(TRIM($AF32)="Betriebsausflug",IF($Z32=$AD32,$AB32,$AB32+($Z32-$AD32)*HLOOKUP($D$6,'AZ-Modell'!$C$7:$N$44,28,0)),IF(TRIM($AF32)="Namenstag",MAX((4/39)*HLOOKUP($D$6,'AZ-Modell'!$C$7:$N$13,5,0),1/24)+IF(K32&lt;&gt;"",IF(J32&gt;K32,1-(J32-K32)-L32,K32-J32-L32),0),IF(K32&lt;&gt;"",IF(J32&gt;K32,1-(J32-K32)-L32,K32-J32-L32),0))))</f>
        <v>0</v>
      </c>
      <c r="N32" s="285" t="str">
        <f t="shared" si="6"/>
        <v/>
      </c>
      <c r="O32" s="286"/>
      <c r="P32" s="286"/>
      <c r="Q32" s="286"/>
      <c r="R32" s="287">
        <f>IF(OR(TRIM($AF32)="Krank",TRIM($AF32)="Urlaub",TRIM($AF32)="Exerzitien",TRIM($AF32)="Wallfahrt",TRIM($AF32)="Arbeitsbefreiung",TRIM($AF32)="Azubi - Berufsschule",TRIM($AF32)="Azubi - Schriftliche AP",TRIM($AF32)="Azubi - Mündliche AP",TRIM($AF32)="Azubi - Zwischenprüfung",TRIM($AF32)="Azubi - Prüfungsvorbereitung"),$AC32,IF(TRIM($AF32)="Betriebsausflug",IF($Z32=$AD32,$AC32,$AC32+($Z32-$AD32)*HLOOKUP($D$6,'AZ-Modell'!$C$7:$N$44,38,0)),IF(P32&lt;&gt;"",IF(O32&gt;P32,1-(O32-P32)-Q32,P32-O32-Q32),0)))</f>
        <v>0</v>
      </c>
      <c r="S32" s="285"/>
      <c r="T32" s="286"/>
      <c r="U32" s="286"/>
      <c r="V32" s="288">
        <f>ROUNDUP(($T32)*IF($U32&lt;&gt;0,$U32,IF(COUNT($T$9:$T32)&lt;8,20%,25%))*24/5,2)*5/24</f>
        <v>0</v>
      </c>
      <c r="W32" s="285"/>
      <c r="X32" s="289">
        <v>0</v>
      </c>
      <c r="Y32" s="290">
        <f t="shared" si="1"/>
        <v>0</v>
      </c>
      <c r="Z32" s="291">
        <f>IF(OR(TRIM($AF32)="Krank",TRIM($AF32)="Urlaub",TRIM($AF32)="Exerzitien",TRIM($AF32)="Wallfahrt",TRIM($AF32)="Arbeitsbefreiung"),$AD32,IF(OR(TRIM($AF32)="Azubi - Berufsschule",TRIM($AF32)="Azubi - Schriftliche AP",TRIM($AF32)="Azubi - Mündliche AP",TRIM($AF32)="Azubi - Zwischenprüfung",TRIM($AF32)="Azubi - Prüfungsvorbereitung"),VLOOKUP($AF32,Grunddaten!$F$26:$I$31,4,0),IF(TRIM($AF32)="Betriebsausflug",MAX(AD32,(7.8/39)*HLOOKUP($D$6,'AZ-Modell'!$C$7:$N$13,5,0),1/24),IF(AND(OR(TRIM($AF32)="Fortbildung",TRIM($AF32)="Dienstreise"),(+$H32+$M32+$R32+$V32)&lt;$AD32),$AD32,IF(AND(OR(TRIM($AF32)="Fortbildung",TRIM($AF32)="Dienstreise"),$X32&gt;0,(+$H32+$M32+$R32+$V32)&gt;10/24),10/24,$H32+$M32+$R32+$V32)))))</f>
        <v>0</v>
      </c>
      <c r="AA32" s="291">
        <f>IF(AND($C32&gt;=Grunddaten!$C$30,ISERROR(VLOOKUP($C32,Grunddaten!$F$36:$F$59,1,0)),ISERROR(VLOOKUP(TRIM($AF32),Grunddaten!$F$26:$F$26,1,0))),INDEX('AZ-Modell'!$C$16:$N$22,IF(WEEKDAY($C32)=1,7,WEEKDAY($C32)-1),MONTH($C32)),IF(TRIM($AF32)="Dienst (Feiertag)",IFERROR(VLOOKUP($C32,Grunddaten!$F$36:$I$59,4,0),0),0))</f>
        <v>0</v>
      </c>
      <c r="AB32" s="291">
        <f>IF(AND($C32&gt;=Grunddaten!$C$30,ISERROR(VLOOKUP($C32,Grunddaten!$F$36:$F$59,1,0)),ISERROR(VLOOKUP(TRIM($AF32),Grunddaten!$F$26:$F$26,1,0))),INDEX('AZ-Modell'!$C$26:$N$32,IF(WEEKDAY($C32)=1,7,WEEKDAY($C32)-1),MONTH($C32)),IF(TRIM($AF32)="Dienst (Feiertag)",IFERROR(VLOOKUP($C32,Grunddaten!$F$36:$I$59,4,0),0),0))</f>
        <v>0</v>
      </c>
      <c r="AC32" s="291">
        <f>IF(AND($C32&gt;=Grunddaten!$C$30,ISERROR(VLOOKUP($C32,Grunddaten!$F$36:$F$59,1,0)),ISERROR(VLOOKUP(TRIM($AF32),Grunddaten!$F$26:$F$26,1,0))),INDEX('AZ-Modell'!$C$36:$N$42,IF(WEEKDAY($C32)=1,7,WEEKDAY($C32)-1),MONTH($C32)),IF(TRIM($AF32)="Dienst (Feiertag)",IFERROR(VLOOKUP($C32,Grunddaten!$F$36:$I$59,4,0),0),0))</f>
        <v>0</v>
      </c>
      <c r="AD32" s="291">
        <f t="shared" si="7"/>
        <v>0</v>
      </c>
      <c r="AE32" s="290">
        <f t="shared" si="11"/>
        <v>-764.39999999999941</v>
      </c>
      <c r="AF32" s="292" t="str">
        <f>IFERROR(VLOOKUP($C32,Grunddaten!$F$36:$G$59,2,0),"")</f>
        <v/>
      </c>
      <c r="AG32" s="293"/>
      <c r="AH32" s="286">
        <v>0</v>
      </c>
      <c r="AI32" s="291">
        <f t="shared" si="8"/>
        <v>0</v>
      </c>
      <c r="AJ32" s="292"/>
      <c r="AK32" s="291">
        <f>IF(OR(TRIM($AF32)="Krank",TRIM($AF32)="Urlaub",TRIM($AF32)="Exerzitien",TRIM($AF32)="Regenerationstag",TRIM($AF32)="Wallfahrt",TRIM($AF32)="Arbeitsbefreiung",TRIM($AF32)="Umwandlungstag"),$AD32,IF(OR(TRIM($AF32)="Azubi - Berufsschule",TRIM($AF32)="Azubi - Schriftliche AP",TRIM($AF32)="Azubi - Mündliche AP",TRIM($AF32)="Azubi - Zwischenprüfung",TRIM($AF32)="Azubi - Prüfungsvorbereitung"),VLOOKUP($AF32,Grunddaten!$F$26:$I$31,4,0),IF(TRIM($AF32)="Namenstag",MAX((4/39)*HLOOKUP($D$6,'AZ-Modell'!$C$7:$N$13,5,0),1/24)+$H32+$M32+$R32+$V32,IF(TRIM($AF32)="Betriebsausflug",MAX(AD32,(7.8/39)*HLOOKUP($D$6,'AZ-Modell'!$C$7:$N$13,5,0),1/24),$H32+$M32+$R32+$V32))))</f>
        <v>0</v>
      </c>
      <c r="AL32" s="291">
        <f t="shared" si="2"/>
        <v>0</v>
      </c>
      <c r="AM32" s="291">
        <f>ROUND(IF(OR(TRIM($AF32)="Krank",TRIM($AF32)="Urlaub",TRIM($AF32)="Exerzitien",TRIM($AF32)="Wallfahrt",TRIM($AF32)="Arbeitsbefreiung",TRIM($AF32)="AZV",TRIM($AF32)="Betriebsausflug",TRIM($AF32)="Namenstag",TRIM($AF32)="Azubi - Berufsschule",TRIM($AF32)="Azubi - Schriftliche AP",TRIM($AF32)="Azubi - Mündliche AP",TRIM($AF32)="Azubi - Zwischenprüfung",TRIM($AF32)="Azubi - Prüfungsvorbereitung"),0,IF((DAYS360(Grunddaten!$C$25,$C32)/360&gt;=18),IF((($H32+$M32+$R32+$T32)*24)&lt;=6,0,IF(AND((($H32+$M32+$R32+$T32)*24)&gt;6,(($H32+$M32+$R32+$T32)*24)&lt;=9),0.5/24,0.75/24)),IF((($H32+$M32+$R32+$T32)*24)&lt;=4.5,0,IF(AND((($H32+$M32+$R32+$T32)*24)&gt;4.5,(($H32+$M32+$R32+$T32)*24)&lt;=6),0.5/24,1/24)))),5)</f>
        <v>0</v>
      </c>
      <c r="AN32" s="332" t="str">
        <f t="shared" si="9"/>
        <v>R</v>
      </c>
    </row>
    <row r="33" spans="1:40" s="294" customFormat="1" ht="21" customHeight="1" x14ac:dyDescent="0.35">
      <c r="A33" s="331">
        <f t="shared" si="3"/>
        <v>22</v>
      </c>
      <c r="B33" s="283" t="str">
        <f t="shared" si="4"/>
        <v>So.</v>
      </c>
      <c r="C33" s="295">
        <f t="shared" si="10"/>
        <v>45802</v>
      </c>
      <c r="D33" s="285" t="str">
        <f t="shared" si="0"/>
        <v/>
      </c>
      <c r="E33" s="286"/>
      <c r="F33" s="286"/>
      <c r="G33" s="286"/>
      <c r="H33" s="287">
        <f>IF(OR(TRIM($AF33)="Krank",TRIM($AF33)="Urlaub",TRIM($AF33)="Exerzitien",TRIM($AF33)="Wallfahrt",TRIM($AF33)="Arbeitsbefreiung",TRIM($AF33)="Azubi - Berufsschule",TRIM($AF33)="Azubi - Schriftliche AP",TRIM($AF33)="Azubi - Mündliche AP",TRIM($AF33)="Azubi - Zwischenprüfung",TRIM($AF33)="Azubi - Prüfungsvorbereitung"),$AA33,IF(TRIM($AF33)="Betriebsausflug",IF($Z33=$AD33,$AA33,$AA33+($Z33-$AD33)*HLOOKUP($D$6,'AZ-Modell'!$C$7:$N$44,18,0)),IF(F33&lt;&gt;"",IF(E33&gt;F33,1-(E33-F33)-G33,F33-E33-G33),0)))</f>
        <v>0</v>
      </c>
      <c r="I33" s="285" t="str">
        <f t="shared" si="5"/>
        <v/>
      </c>
      <c r="J33" s="286"/>
      <c r="K33" s="286"/>
      <c r="L33" s="286"/>
      <c r="M33" s="287">
        <f>IF(OR(TRIM($AF33)="Krank",TRIM($AF33)="Urlaub",TRIM($AF33)="Exerzitien",TRIM($AF33)="Wallfahrt",TRIM($AF33)="Arbeitsbefreiung",TRIM($AF33)="Azubi - Berufsschule",TRIM($AF33)="Azubi - Schriftliche AP",TRIM($AF33)="Azubi - Mündliche AP",TRIM($AF33)="Azubi - Zwischenprüfung",TRIM($AF33)="Azubi - Prüfungsvorbereitung"),$AB33,IF(TRIM($AF33)="Betriebsausflug",IF($Z33=$AD33,$AB33,$AB33+($Z33-$AD33)*HLOOKUP($D$6,'AZ-Modell'!$C$7:$N$44,28,0)),IF(TRIM($AF33)="Namenstag",MAX((4/39)*HLOOKUP($D$6,'AZ-Modell'!$C$7:$N$13,5,0),1/24)+IF(K33&lt;&gt;"",IF(J33&gt;K33,1-(J33-K33)-L33,K33-J33-L33),0),IF(K33&lt;&gt;"",IF(J33&gt;K33,1-(J33-K33)-L33,K33-J33-L33),0))))</f>
        <v>0</v>
      </c>
      <c r="N33" s="285" t="str">
        <f t="shared" si="6"/>
        <v/>
      </c>
      <c r="O33" s="286"/>
      <c r="P33" s="286"/>
      <c r="Q33" s="286"/>
      <c r="R33" s="287">
        <f>IF(OR(TRIM($AF33)="Krank",TRIM($AF33)="Urlaub",TRIM($AF33)="Exerzitien",TRIM($AF33)="Wallfahrt",TRIM($AF33)="Arbeitsbefreiung",TRIM($AF33)="Azubi - Berufsschule",TRIM($AF33)="Azubi - Schriftliche AP",TRIM($AF33)="Azubi - Mündliche AP",TRIM($AF33)="Azubi - Zwischenprüfung",TRIM($AF33)="Azubi - Prüfungsvorbereitung"),$AC33,IF(TRIM($AF33)="Betriebsausflug",IF($Z33=$AD33,$AC33,$AC33+($Z33-$AD33)*HLOOKUP($D$6,'AZ-Modell'!$C$7:$N$44,38,0)),IF(P33&lt;&gt;"",IF(O33&gt;P33,1-(O33-P33)-Q33,P33-O33-Q33),0)))</f>
        <v>0</v>
      </c>
      <c r="S33" s="285"/>
      <c r="T33" s="286"/>
      <c r="U33" s="286"/>
      <c r="V33" s="288">
        <f>ROUNDUP(($T33)*IF($U33&lt;&gt;0,$U33,IF(COUNT($T$9:$T33)&lt;8,20%,25%))*24/5,2)*5/24</f>
        <v>0</v>
      </c>
      <c r="W33" s="285"/>
      <c r="X33" s="289">
        <v>0</v>
      </c>
      <c r="Y33" s="290">
        <f t="shared" si="1"/>
        <v>0</v>
      </c>
      <c r="Z33" s="291">
        <f>IF(OR(TRIM($AF33)="Krank",TRIM($AF33)="Urlaub",TRIM($AF33)="Exerzitien",TRIM($AF33)="Wallfahrt",TRIM($AF33)="Arbeitsbefreiung"),$AD33,IF(OR(TRIM($AF33)="Azubi - Berufsschule",TRIM($AF33)="Azubi - Schriftliche AP",TRIM($AF33)="Azubi - Mündliche AP",TRIM($AF33)="Azubi - Zwischenprüfung",TRIM($AF33)="Azubi - Prüfungsvorbereitung"),VLOOKUP($AF33,Grunddaten!$F$26:$I$31,4,0),IF(TRIM($AF33)="Betriebsausflug",MAX(AD33,(7.8/39)*HLOOKUP($D$6,'AZ-Modell'!$C$7:$N$13,5,0),1/24),IF(AND(OR(TRIM($AF33)="Fortbildung",TRIM($AF33)="Dienstreise"),(+$H33+$M33+$R33+$V33)&lt;$AD33),$AD33,IF(AND(OR(TRIM($AF33)="Fortbildung",TRIM($AF33)="Dienstreise"),$X33&gt;0,(+$H33+$M33+$R33+$V33)&gt;10/24),10/24,$H33+$M33+$R33+$V33)))))</f>
        <v>0</v>
      </c>
      <c r="AA33" s="291">
        <f>IF(AND($C33&gt;=Grunddaten!$C$30,ISERROR(VLOOKUP($C33,Grunddaten!$F$36:$F$59,1,0)),ISERROR(VLOOKUP(TRIM($AF33),Grunddaten!$F$26:$F$26,1,0))),INDEX('AZ-Modell'!$C$16:$N$22,IF(WEEKDAY($C33)=1,7,WEEKDAY($C33)-1),MONTH($C33)),IF(TRIM($AF33)="Dienst (Feiertag)",IFERROR(VLOOKUP($C33,Grunddaten!$F$36:$I$59,4,0),0),0))</f>
        <v>0</v>
      </c>
      <c r="AB33" s="291">
        <f>IF(AND($C33&gt;=Grunddaten!$C$30,ISERROR(VLOOKUP($C33,Grunddaten!$F$36:$F$59,1,0)),ISERROR(VLOOKUP(TRIM($AF33),Grunddaten!$F$26:$F$26,1,0))),INDEX('AZ-Modell'!$C$26:$N$32,IF(WEEKDAY($C33)=1,7,WEEKDAY($C33)-1),MONTH($C33)),IF(TRIM($AF33)="Dienst (Feiertag)",IFERROR(VLOOKUP($C33,Grunddaten!$F$36:$I$59,4,0),0),0))</f>
        <v>0</v>
      </c>
      <c r="AC33" s="291">
        <f>IF(AND($C33&gt;=Grunddaten!$C$30,ISERROR(VLOOKUP($C33,Grunddaten!$F$36:$F$59,1,0)),ISERROR(VLOOKUP(TRIM($AF33),Grunddaten!$F$26:$F$26,1,0))),INDEX('AZ-Modell'!$C$36:$N$42,IF(WEEKDAY($C33)=1,7,WEEKDAY($C33)-1),MONTH($C33)),IF(TRIM($AF33)="Dienst (Feiertag)",IFERROR(VLOOKUP($C33,Grunddaten!$F$36:$I$59,4,0),0),0))</f>
        <v>0</v>
      </c>
      <c r="AD33" s="291">
        <f t="shared" si="7"/>
        <v>0</v>
      </c>
      <c r="AE33" s="290">
        <f t="shared" si="11"/>
        <v>-764.39999999999941</v>
      </c>
      <c r="AF33" s="292" t="str">
        <f>IFERROR(VLOOKUP($C33,Grunddaten!$F$36:$G$59,2,0),"")</f>
        <v/>
      </c>
      <c r="AG33" s="293"/>
      <c r="AH33" s="286">
        <v>0</v>
      </c>
      <c r="AI33" s="291">
        <f t="shared" si="8"/>
        <v>0</v>
      </c>
      <c r="AJ33" s="292"/>
      <c r="AK33" s="291">
        <f>IF(OR(TRIM($AF33)="Krank",TRIM($AF33)="Urlaub",TRIM($AF33)="Exerzitien",TRIM($AF33)="Regenerationstag",TRIM($AF33)="Wallfahrt",TRIM($AF33)="Arbeitsbefreiung",TRIM($AF33)="Umwandlungstag"),$AD33,IF(OR(TRIM($AF33)="Azubi - Berufsschule",TRIM($AF33)="Azubi - Schriftliche AP",TRIM($AF33)="Azubi - Mündliche AP",TRIM($AF33)="Azubi - Zwischenprüfung",TRIM($AF33)="Azubi - Prüfungsvorbereitung"),VLOOKUP($AF33,Grunddaten!$F$26:$I$31,4,0),IF(TRIM($AF33)="Namenstag",MAX((4/39)*HLOOKUP($D$6,'AZ-Modell'!$C$7:$N$13,5,0),1/24)+$H33+$M33+$R33+$V33,IF(TRIM($AF33)="Betriebsausflug",MAX(AD33,(7.8/39)*HLOOKUP($D$6,'AZ-Modell'!$C$7:$N$13,5,0),1/24),$H33+$M33+$R33+$V33))))</f>
        <v>0</v>
      </c>
      <c r="AL33" s="291">
        <f t="shared" si="2"/>
        <v>0</v>
      </c>
      <c r="AM33" s="291">
        <f>ROUND(IF(OR(TRIM($AF33)="Krank",TRIM($AF33)="Urlaub",TRIM($AF33)="Exerzitien",TRIM($AF33)="Wallfahrt",TRIM($AF33)="Arbeitsbefreiung",TRIM($AF33)="AZV",TRIM($AF33)="Betriebsausflug",TRIM($AF33)="Namenstag",TRIM($AF33)="Azubi - Berufsschule",TRIM($AF33)="Azubi - Schriftliche AP",TRIM($AF33)="Azubi - Mündliche AP",TRIM($AF33)="Azubi - Zwischenprüfung",TRIM($AF33)="Azubi - Prüfungsvorbereitung"),0,IF((DAYS360(Grunddaten!$C$25,$C33)/360&gt;=18),IF((($H33+$M33+$R33+$T33)*24)&lt;=6,0,IF(AND((($H33+$M33+$R33+$T33)*24)&gt;6,(($H33+$M33+$R33+$T33)*24)&lt;=9),0.5/24,0.75/24)),IF((($H33+$M33+$R33+$T33)*24)&lt;=4.5,0,IF(AND((($H33+$M33+$R33+$T33)*24)&gt;4.5,(($H33+$M33+$R33+$T33)*24)&lt;=6),0.5/24,1/24)))),5)</f>
        <v>0</v>
      </c>
      <c r="AN33" s="332" t="str">
        <f t="shared" si="9"/>
        <v>R</v>
      </c>
    </row>
    <row r="34" spans="1:40" s="294" customFormat="1" ht="21" customHeight="1" x14ac:dyDescent="0.35">
      <c r="A34" s="331">
        <f t="shared" si="3"/>
        <v>22</v>
      </c>
      <c r="B34" s="283" t="str">
        <f t="shared" si="4"/>
        <v>Mo.</v>
      </c>
      <c r="C34" s="295">
        <f t="shared" si="10"/>
        <v>45803</v>
      </c>
      <c r="D34" s="285" t="str">
        <f t="shared" si="0"/>
        <v/>
      </c>
      <c r="E34" s="286"/>
      <c r="F34" s="286"/>
      <c r="G34" s="286"/>
      <c r="H34" s="287">
        <f>IF(OR(TRIM($AF34)="Krank",TRIM($AF34)="Urlaub",TRIM($AF34)="Exerzitien",TRIM($AF34)="Wallfahrt",TRIM($AF34)="Arbeitsbefreiung",TRIM($AF34)="Azubi - Berufsschule",TRIM($AF34)="Azubi - Schriftliche AP",TRIM($AF34)="Azubi - Mündliche AP",TRIM($AF34)="Azubi - Zwischenprüfung",TRIM($AF34)="Azubi - Prüfungsvorbereitung"),$AA34,IF(TRIM($AF34)="Betriebsausflug",IF($Z34=$AD34,$AA34,$AA34+($Z34-$AD34)*HLOOKUP($D$6,'AZ-Modell'!$C$7:$N$44,18,0)),IF(F34&lt;&gt;"",IF(E34&gt;F34,1-(E34-F34)-G34,F34-E34-G34),0)))</f>
        <v>0</v>
      </c>
      <c r="I34" s="285" t="str">
        <f t="shared" si="5"/>
        <v/>
      </c>
      <c r="J34" s="286"/>
      <c r="K34" s="286"/>
      <c r="L34" s="286"/>
      <c r="M34" s="287">
        <f>IF(OR(TRIM($AF34)="Krank",TRIM($AF34)="Urlaub",TRIM($AF34)="Exerzitien",TRIM($AF34)="Wallfahrt",TRIM($AF34)="Arbeitsbefreiung",TRIM($AF34)="Azubi - Berufsschule",TRIM($AF34)="Azubi - Schriftliche AP",TRIM($AF34)="Azubi - Mündliche AP",TRIM($AF34)="Azubi - Zwischenprüfung",TRIM($AF34)="Azubi - Prüfungsvorbereitung"),$AB34,IF(TRIM($AF34)="Betriebsausflug",IF($Z34=$AD34,$AB34,$AB34+($Z34-$AD34)*HLOOKUP($D$6,'AZ-Modell'!$C$7:$N$44,28,0)),IF(TRIM($AF34)="Namenstag",MAX((4/39)*HLOOKUP($D$6,'AZ-Modell'!$C$7:$N$13,5,0),1/24)+IF(K34&lt;&gt;"",IF(J34&gt;K34,1-(J34-K34)-L34,K34-J34-L34),0),IF(K34&lt;&gt;"",IF(J34&gt;K34,1-(J34-K34)-L34,K34-J34-L34),0))))</f>
        <v>0</v>
      </c>
      <c r="N34" s="285" t="str">
        <f t="shared" si="6"/>
        <v/>
      </c>
      <c r="O34" s="286"/>
      <c r="P34" s="286"/>
      <c r="Q34" s="286"/>
      <c r="R34" s="287">
        <f>IF(OR(TRIM($AF34)="Krank",TRIM($AF34)="Urlaub",TRIM($AF34)="Exerzitien",TRIM($AF34)="Wallfahrt",TRIM($AF34)="Arbeitsbefreiung",TRIM($AF34)="Azubi - Berufsschule",TRIM($AF34)="Azubi - Schriftliche AP",TRIM($AF34)="Azubi - Mündliche AP",TRIM($AF34)="Azubi - Zwischenprüfung",TRIM($AF34)="Azubi - Prüfungsvorbereitung"),$AC34,IF(TRIM($AF34)="Betriebsausflug",IF($Z34=$AD34,$AC34,$AC34+($Z34-$AD34)*HLOOKUP($D$6,'AZ-Modell'!$C$7:$N$44,38,0)),IF(P34&lt;&gt;"",IF(O34&gt;P34,1-(O34-P34)-Q34,P34-O34-Q34),0)))</f>
        <v>0</v>
      </c>
      <c r="S34" s="285"/>
      <c r="T34" s="286"/>
      <c r="U34" s="286"/>
      <c r="V34" s="288">
        <f>ROUNDUP(($T34)*IF($U34&lt;&gt;0,$U34,IF(COUNT($T$9:$T34)&lt;8,20%,25%))*24/5,2)*5/24</f>
        <v>0</v>
      </c>
      <c r="W34" s="285"/>
      <c r="X34" s="289">
        <v>0</v>
      </c>
      <c r="Y34" s="290">
        <f t="shared" si="1"/>
        <v>0</v>
      </c>
      <c r="Z34" s="291">
        <f>IF(OR(TRIM($AF34)="Krank",TRIM($AF34)="Urlaub",TRIM($AF34)="Exerzitien",TRIM($AF34)="Wallfahrt",TRIM($AF34)="Arbeitsbefreiung"),$AD34,IF(OR(TRIM($AF34)="Azubi - Berufsschule",TRIM($AF34)="Azubi - Schriftliche AP",TRIM($AF34)="Azubi - Mündliche AP",TRIM($AF34)="Azubi - Zwischenprüfung",TRIM($AF34)="Azubi - Prüfungsvorbereitung"),VLOOKUP($AF34,Grunddaten!$F$26:$I$31,4,0),IF(TRIM($AF34)="Betriebsausflug",MAX(AD34,(7.8/39)*HLOOKUP($D$6,'AZ-Modell'!$C$7:$N$13,5,0),1/24),IF(AND(OR(TRIM($AF34)="Fortbildung",TRIM($AF34)="Dienstreise"),(+$H34+$M34+$R34+$V34)&lt;$AD34),$AD34,IF(AND(OR(TRIM($AF34)="Fortbildung",TRIM($AF34)="Dienstreise"),$X34&gt;0,(+$H34+$M34+$R34+$V34)&gt;10/24),10/24,$H34+$M34+$R34+$V34)))))</f>
        <v>0</v>
      </c>
      <c r="AA34" s="291">
        <f>IF(AND($C34&gt;=Grunddaten!$C$30,ISERROR(VLOOKUP($C34,Grunddaten!$F$36:$F$59,1,0)),ISERROR(VLOOKUP(TRIM($AF34),Grunddaten!$F$26:$F$26,1,0))),INDEX('AZ-Modell'!$C$16:$N$22,IF(WEEKDAY($C34)=1,7,WEEKDAY($C34)-1),MONTH($C34)),IF(TRIM($AF34)="Dienst (Feiertag)",IFERROR(VLOOKUP($C34,Grunddaten!$F$36:$I$59,4,0),0),0))</f>
        <v>0.32500000000000001</v>
      </c>
      <c r="AB34" s="291">
        <f>IF(AND($C34&gt;=Grunddaten!$C$30,ISERROR(VLOOKUP($C34,Grunddaten!$F$36:$F$59,1,0)),ISERROR(VLOOKUP(TRIM($AF34),Grunddaten!$F$26:$F$26,1,0))),INDEX('AZ-Modell'!$C$26:$N$32,IF(WEEKDAY($C34)=1,7,WEEKDAY($C34)-1),MONTH($C34)),IF(TRIM($AF34)="Dienst (Feiertag)",IFERROR(VLOOKUP($C34,Grunddaten!$F$36:$I$59,4,0),0),0))</f>
        <v>0</v>
      </c>
      <c r="AC34" s="291">
        <f>IF(AND($C34&gt;=Grunddaten!$C$30,ISERROR(VLOOKUP($C34,Grunddaten!$F$36:$F$59,1,0)),ISERROR(VLOOKUP(TRIM($AF34),Grunddaten!$F$26:$F$26,1,0))),INDEX('AZ-Modell'!$C$36:$N$42,IF(WEEKDAY($C34)=1,7,WEEKDAY($C34)-1),MONTH($C34)),IF(TRIM($AF34)="Dienst (Feiertag)",IFERROR(VLOOKUP($C34,Grunddaten!$F$36:$I$59,4,0),0),0))</f>
        <v>0</v>
      </c>
      <c r="AD34" s="291">
        <f t="shared" si="7"/>
        <v>0.32500000000000001</v>
      </c>
      <c r="AE34" s="290">
        <f t="shared" si="11"/>
        <v>-772.19999999999936</v>
      </c>
      <c r="AF34" s="292" t="str">
        <f>IFERROR(VLOOKUP($C34,Grunddaten!$F$36:$G$59,2,0),"")</f>
        <v/>
      </c>
      <c r="AG34" s="293"/>
      <c r="AH34" s="286">
        <v>0</v>
      </c>
      <c r="AI34" s="291">
        <f t="shared" si="8"/>
        <v>0</v>
      </c>
      <c r="AJ34" s="292"/>
      <c r="AK34" s="291">
        <f>IF(OR(TRIM($AF34)="Krank",TRIM($AF34)="Urlaub",TRIM($AF34)="Exerzitien",TRIM($AF34)="Regenerationstag",TRIM($AF34)="Wallfahrt",TRIM($AF34)="Arbeitsbefreiung",TRIM($AF34)="Umwandlungstag"),$AD34,IF(OR(TRIM($AF34)="Azubi - Berufsschule",TRIM($AF34)="Azubi - Schriftliche AP",TRIM($AF34)="Azubi - Mündliche AP",TRIM($AF34)="Azubi - Zwischenprüfung",TRIM($AF34)="Azubi - Prüfungsvorbereitung"),VLOOKUP($AF34,Grunddaten!$F$26:$I$31,4,0),IF(TRIM($AF34)="Namenstag",MAX((4/39)*HLOOKUP($D$6,'AZ-Modell'!$C$7:$N$13,5,0),1/24)+$H34+$M34+$R34+$V34,IF(TRIM($AF34)="Betriebsausflug",MAX(AD34,(7.8/39)*HLOOKUP($D$6,'AZ-Modell'!$C$7:$N$13,5,0),1/24),$H34+$M34+$R34+$V34))))</f>
        <v>0</v>
      </c>
      <c r="AL34" s="291">
        <f t="shared" si="2"/>
        <v>0</v>
      </c>
      <c r="AM34" s="291">
        <f>ROUND(IF(OR(TRIM($AF34)="Krank",TRIM($AF34)="Urlaub",TRIM($AF34)="Exerzitien",TRIM($AF34)="Wallfahrt",TRIM($AF34)="Arbeitsbefreiung",TRIM($AF34)="AZV",TRIM($AF34)="Betriebsausflug",TRIM($AF34)="Namenstag",TRIM($AF34)="Azubi - Berufsschule",TRIM($AF34)="Azubi - Schriftliche AP",TRIM($AF34)="Azubi - Mündliche AP",TRIM($AF34)="Azubi - Zwischenprüfung",TRIM($AF34)="Azubi - Prüfungsvorbereitung"),0,IF((DAYS360(Grunddaten!$C$25,$C34)/360&gt;=18),IF((($H34+$M34+$R34+$T34)*24)&lt;=6,0,IF(AND((($H34+$M34+$R34+$T34)*24)&gt;6,(($H34+$M34+$R34+$T34)*24)&lt;=9),0.5/24,0.75/24)),IF((($H34+$M34+$R34+$T34)*24)&lt;=4.5,0,IF(AND((($H34+$M34+$R34+$T34)*24)&gt;4.5,(($H34+$M34+$R34+$T34)*24)&lt;=6),0.5/24,1/24)))),5)</f>
        <v>0</v>
      </c>
      <c r="AN34" s="332" t="str">
        <f t="shared" si="9"/>
        <v>R</v>
      </c>
    </row>
    <row r="35" spans="1:40" s="294" customFormat="1" ht="21" customHeight="1" x14ac:dyDescent="0.35">
      <c r="A35" s="331">
        <f t="shared" si="3"/>
        <v>22</v>
      </c>
      <c r="B35" s="283" t="str">
        <f t="shared" si="4"/>
        <v>Di.</v>
      </c>
      <c r="C35" s="295">
        <f t="shared" si="10"/>
        <v>45804</v>
      </c>
      <c r="D35" s="285" t="str">
        <f t="shared" si="0"/>
        <v/>
      </c>
      <c r="E35" s="286"/>
      <c r="F35" s="286"/>
      <c r="G35" s="286"/>
      <c r="H35" s="287">
        <f>IF(OR(TRIM($AF35)="Krank",TRIM($AF35)="Urlaub",TRIM($AF35)="Exerzitien",TRIM($AF35)="Wallfahrt",TRIM($AF35)="Arbeitsbefreiung",TRIM($AF35)="Azubi - Berufsschule",TRIM($AF35)="Azubi - Schriftliche AP",TRIM($AF35)="Azubi - Mündliche AP",TRIM($AF35)="Azubi - Zwischenprüfung",TRIM($AF35)="Azubi - Prüfungsvorbereitung"),$AA35,IF(TRIM($AF35)="Betriebsausflug",IF($Z35=$AD35,$AA35,$AA35+($Z35-$AD35)*HLOOKUP($D$6,'AZ-Modell'!$C$7:$N$44,18,0)),IF(F35&lt;&gt;"",IF(E35&gt;F35,1-(E35-F35)-G35,F35-E35-G35),0)))</f>
        <v>0</v>
      </c>
      <c r="I35" s="285" t="str">
        <f t="shared" si="5"/>
        <v/>
      </c>
      <c r="J35" s="286"/>
      <c r="K35" s="286"/>
      <c r="L35" s="286"/>
      <c r="M35" s="287">
        <f>IF(OR(TRIM($AF35)="Krank",TRIM($AF35)="Urlaub",TRIM($AF35)="Exerzitien",TRIM($AF35)="Wallfahrt",TRIM($AF35)="Arbeitsbefreiung",TRIM($AF35)="Azubi - Berufsschule",TRIM($AF35)="Azubi - Schriftliche AP",TRIM($AF35)="Azubi - Mündliche AP",TRIM($AF35)="Azubi - Zwischenprüfung",TRIM($AF35)="Azubi - Prüfungsvorbereitung"),$AB35,IF(TRIM($AF35)="Betriebsausflug",IF($Z35=$AD35,$AB35,$AB35+($Z35-$AD35)*HLOOKUP($D$6,'AZ-Modell'!$C$7:$N$44,28,0)),IF(TRIM($AF35)="Namenstag",MAX((4/39)*HLOOKUP($D$6,'AZ-Modell'!$C$7:$N$13,5,0),1/24)+IF(K35&lt;&gt;"",IF(J35&gt;K35,1-(J35-K35)-L35,K35-J35-L35),0),IF(K35&lt;&gt;"",IF(J35&gt;K35,1-(J35-K35)-L35,K35-J35-L35),0))))</f>
        <v>0</v>
      </c>
      <c r="N35" s="285" t="str">
        <f t="shared" si="6"/>
        <v/>
      </c>
      <c r="O35" s="286"/>
      <c r="P35" s="286"/>
      <c r="Q35" s="286"/>
      <c r="R35" s="287">
        <f>IF(OR(TRIM($AF35)="Krank",TRIM($AF35)="Urlaub",TRIM($AF35)="Exerzitien",TRIM($AF35)="Wallfahrt",TRIM($AF35)="Arbeitsbefreiung",TRIM($AF35)="Azubi - Berufsschule",TRIM($AF35)="Azubi - Schriftliche AP",TRIM($AF35)="Azubi - Mündliche AP",TRIM($AF35)="Azubi - Zwischenprüfung",TRIM($AF35)="Azubi - Prüfungsvorbereitung"),$AC35,IF(TRIM($AF35)="Betriebsausflug",IF($Z35=$AD35,$AC35,$AC35+($Z35-$AD35)*HLOOKUP($D$6,'AZ-Modell'!$C$7:$N$44,38,0)),IF(P35&lt;&gt;"",IF(O35&gt;P35,1-(O35-P35)-Q35,P35-O35-Q35),0)))</f>
        <v>0</v>
      </c>
      <c r="S35" s="285"/>
      <c r="T35" s="286"/>
      <c r="U35" s="286"/>
      <c r="V35" s="288">
        <f>ROUNDUP(($T35)*IF($U35&lt;&gt;0,$U35,IF(COUNT($T$9:$T35)&lt;8,20%,25%))*24/5,2)*5/24</f>
        <v>0</v>
      </c>
      <c r="W35" s="285"/>
      <c r="X35" s="289">
        <v>0</v>
      </c>
      <c r="Y35" s="290">
        <f t="shared" si="1"/>
        <v>0</v>
      </c>
      <c r="Z35" s="291">
        <f>IF(OR(TRIM($AF35)="Krank",TRIM($AF35)="Urlaub",TRIM($AF35)="Exerzitien",TRIM($AF35)="Wallfahrt",TRIM($AF35)="Arbeitsbefreiung"),$AD35,IF(OR(TRIM($AF35)="Azubi - Berufsschule",TRIM($AF35)="Azubi - Schriftliche AP",TRIM($AF35)="Azubi - Mündliche AP",TRIM($AF35)="Azubi - Zwischenprüfung",TRIM($AF35)="Azubi - Prüfungsvorbereitung"),VLOOKUP($AF35,Grunddaten!$F$26:$I$31,4,0),IF(TRIM($AF35)="Betriebsausflug",MAX(AD35,(7.8/39)*HLOOKUP($D$6,'AZ-Modell'!$C$7:$N$13,5,0),1/24),IF(AND(OR(TRIM($AF35)="Fortbildung",TRIM($AF35)="Dienstreise"),(+$H35+$M35+$R35+$V35)&lt;$AD35),$AD35,IF(AND(OR(TRIM($AF35)="Fortbildung",TRIM($AF35)="Dienstreise"),$X35&gt;0,(+$H35+$M35+$R35+$V35)&gt;10/24),10/24,$H35+$M35+$R35+$V35)))))</f>
        <v>0</v>
      </c>
      <c r="AA35" s="291">
        <f>IF(AND($C35&gt;=Grunddaten!$C$30,ISERROR(VLOOKUP($C35,Grunddaten!$F$36:$F$59,1,0)),ISERROR(VLOOKUP(TRIM($AF35),Grunddaten!$F$26:$F$26,1,0))),INDEX('AZ-Modell'!$C$16:$N$22,IF(WEEKDAY($C35)=1,7,WEEKDAY($C35)-1),MONTH($C35)),IF(TRIM($AF35)="Dienst (Feiertag)",IFERROR(VLOOKUP($C35,Grunddaten!$F$36:$I$59,4,0),0),0))</f>
        <v>0.32500000000000001</v>
      </c>
      <c r="AB35" s="291">
        <f>IF(AND($C35&gt;=Grunddaten!$C$30,ISERROR(VLOOKUP($C35,Grunddaten!$F$36:$F$59,1,0)),ISERROR(VLOOKUP(TRIM($AF35),Grunddaten!$F$26:$F$26,1,0))),INDEX('AZ-Modell'!$C$26:$N$32,IF(WEEKDAY($C35)=1,7,WEEKDAY($C35)-1),MONTH($C35)),IF(TRIM($AF35)="Dienst (Feiertag)",IFERROR(VLOOKUP($C35,Grunddaten!$F$36:$I$59,4,0),0),0))</f>
        <v>0</v>
      </c>
      <c r="AC35" s="291">
        <f>IF(AND($C35&gt;=Grunddaten!$C$30,ISERROR(VLOOKUP($C35,Grunddaten!$F$36:$F$59,1,0)),ISERROR(VLOOKUP(TRIM($AF35),Grunddaten!$F$26:$F$26,1,0))),INDEX('AZ-Modell'!$C$36:$N$42,IF(WEEKDAY($C35)=1,7,WEEKDAY($C35)-1),MONTH($C35)),IF(TRIM($AF35)="Dienst (Feiertag)",IFERROR(VLOOKUP($C35,Grunddaten!$F$36:$I$59,4,0),0),0))</f>
        <v>0</v>
      </c>
      <c r="AD35" s="291">
        <f t="shared" si="7"/>
        <v>0.32500000000000001</v>
      </c>
      <c r="AE35" s="290">
        <f t="shared" si="11"/>
        <v>-779.99999999999932</v>
      </c>
      <c r="AF35" s="292" t="str">
        <f>IFERROR(VLOOKUP($C35,Grunddaten!$F$36:$G$59,2,0),"")</f>
        <v/>
      </c>
      <c r="AG35" s="293"/>
      <c r="AH35" s="286">
        <v>0</v>
      </c>
      <c r="AI35" s="291">
        <f t="shared" si="8"/>
        <v>0</v>
      </c>
      <c r="AJ35" s="292"/>
      <c r="AK35" s="291">
        <f>IF(OR(TRIM($AF35)="Krank",TRIM($AF35)="Urlaub",TRIM($AF35)="Exerzitien",TRIM($AF35)="Regenerationstag",TRIM($AF35)="Wallfahrt",TRIM($AF35)="Arbeitsbefreiung",TRIM($AF35)="Umwandlungstag"),$AD35,IF(OR(TRIM($AF35)="Azubi - Berufsschule",TRIM($AF35)="Azubi - Schriftliche AP",TRIM($AF35)="Azubi - Mündliche AP",TRIM($AF35)="Azubi - Zwischenprüfung",TRIM($AF35)="Azubi - Prüfungsvorbereitung"),VLOOKUP($AF35,Grunddaten!$F$26:$I$31,4,0),IF(TRIM($AF35)="Namenstag",MAX((4/39)*HLOOKUP($D$6,'AZ-Modell'!$C$7:$N$13,5,0),1/24)+$H35+$M35+$R35+$V35,IF(TRIM($AF35)="Betriebsausflug",MAX(AD35,(7.8/39)*HLOOKUP($D$6,'AZ-Modell'!$C$7:$N$13,5,0),1/24),$H35+$M35+$R35+$V35))))</f>
        <v>0</v>
      </c>
      <c r="AL35" s="291">
        <f t="shared" si="2"/>
        <v>0</v>
      </c>
      <c r="AM35" s="291">
        <f>ROUND(IF(OR(TRIM($AF35)="Krank",TRIM($AF35)="Urlaub",TRIM($AF35)="Exerzitien",TRIM($AF35)="Wallfahrt",TRIM($AF35)="Arbeitsbefreiung",TRIM($AF35)="AZV",TRIM($AF35)="Betriebsausflug",TRIM($AF35)="Namenstag",TRIM($AF35)="Azubi - Berufsschule",TRIM($AF35)="Azubi - Schriftliche AP",TRIM($AF35)="Azubi - Mündliche AP",TRIM($AF35)="Azubi - Zwischenprüfung",TRIM($AF35)="Azubi - Prüfungsvorbereitung"),0,IF((DAYS360(Grunddaten!$C$25,$C35)/360&gt;=18),IF((($H35+$M35+$R35+$T35)*24)&lt;=6,0,IF(AND((($H35+$M35+$R35+$T35)*24)&gt;6,(($H35+$M35+$R35+$T35)*24)&lt;=9),0.5/24,0.75/24)),IF((($H35+$M35+$R35+$T35)*24)&lt;=4.5,0,IF(AND((($H35+$M35+$R35+$T35)*24)&gt;4.5,(($H35+$M35+$R35+$T35)*24)&lt;=6),0.5/24,1/24)))),5)</f>
        <v>0</v>
      </c>
      <c r="AN35" s="332" t="str">
        <f t="shared" si="9"/>
        <v>R</v>
      </c>
    </row>
    <row r="36" spans="1:40" s="294" customFormat="1" ht="21" customHeight="1" x14ac:dyDescent="0.35">
      <c r="A36" s="331">
        <f t="shared" si="3"/>
        <v>22</v>
      </c>
      <c r="B36" s="283" t="str">
        <f t="shared" si="4"/>
        <v>Mi.</v>
      </c>
      <c r="C36" s="295">
        <f t="shared" si="10"/>
        <v>45805</v>
      </c>
      <c r="D36" s="285" t="str">
        <f t="shared" si="0"/>
        <v/>
      </c>
      <c r="E36" s="286"/>
      <c r="F36" s="286"/>
      <c r="G36" s="286"/>
      <c r="H36" s="287">
        <f>IF(OR(TRIM($AF36)="Krank",TRIM($AF36)="Urlaub",TRIM($AF36)="Exerzitien",TRIM($AF36)="Wallfahrt",TRIM($AF36)="Arbeitsbefreiung",TRIM($AF36)="Azubi - Berufsschule",TRIM($AF36)="Azubi - Schriftliche AP",TRIM($AF36)="Azubi - Mündliche AP",TRIM($AF36)="Azubi - Zwischenprüfung",TRIM($AF36)="Azubi - Prüfungsvorbereitung"),$AA36,IF(TRIM($AF36)="Betriebsausflug",IF($Z36=$AD36,$AA36,$AA36+($Z36-$AD36)*HLOOKUP($D$6,'AZ-Modell'!$C$7:$N$44,18,0)),IF(F36&lt;&gt;"",IF(E36&gt;F36,1-(E36-F36)-G36,F36-E36-G36),0)))</f>
        <v>0</v>
      </c>
      <c r="I36" s="285" t="str">
        <f t="shared" si="5"/>
        <v/>
      </c>
      <c r="J36" s="286"/>
      <c r="K36" s="286"/>
      <c r="L36" s="286"/>
      <c r="M36" s="287">
        <f>IF(OR(TRIM($AF36)="Krank",TRIM($AF36)="Urlaub",TRIM($AF36)="Exerzitien",TRIM($AF36)="Wallfahrt",TRIM($AF36)="Arbeitsbefreiung",TRIM($AF36)="Azubi - Berufsschule",TRIM($AF36)="Azubi - Schriftliche AP",TRIM($AF36)="Azubi - Mündliche AP",TRIM($AF36)="Azubi - Zwischenprüfung",TRIM($AF36)="Azubi - Prüfungsvorbereitung"),$AB36,IF(TRIM($AF36)="Betriebsausflug",IF($Z36=$AD36,$AB36,$AB36+($Z36-$AD36)*HLOOKUP($D$6,'AZ-Modell'!$C$7:$N$44,28,0)),IF(TRIM($AF36)="Namenstag",MAX((4/39)*HLOOKUP($D$6,'AZ-Modell'!$C$7:$N$13,5,0),1/24)+IF(K36&lt;&gt;"",IF(J36&gt;K36,1-(J36-K36)-L36,K36-J36-L36),0),IF(K36&lt;&gt;"",IF(J36&gt;K36,1-(J36-K36)-L36,K36-J36-L36),0))))</f>
        <v>0</v>
      </c>
      <c r="N36" s="285" t="str">
        <f t="shared" si="6"/>
        <v/>
      </c>
      <c r="O36" s="286"/>
      <c r="P36" s="286"/>
      <c r="Q36" s="286"/>
      <c r="R36" s="287">
        <f>IF(OR(TRIM($AF36)="Krank",TRIM($AF36)="Urlaub",TRIM($AF36)="Exerzitien",TRIM($AF36)="Wallfahrt",TRIM($AF36)="Arbeitsbefreiung",TRIM($AF36)="Azubi - Berufsschule",TRIM($AF36)="Azubi - Schriftliche AP",TRIM($AF36)="Azubi - Mündliche AP",TRIM($AF36)="Azubi - Zwischenprüfung",TRIM($AF36)="Azubi - Prüfungsvorbereitung"),$AC36,IF(TRIM($AF36)="Betriebsausflug",IF($Z36=$AD36,$AC36,$AC36+($Z36-$AD36)*HLOOKUP($D$6,'AZ-Modell'!$C$7:$N$44,38,0)),IF(P36&lt;&gt;"",IF(O36&gt;P36,1-(O36-P36)-Q36,P36-O36-Q36),0)))</f>
        <v>0</v>
      </c>
      <c r="S36" s="285"/>
      <c r="T36" s="286"/>
      <c r="U36" s="286"/>
      <c r="V36" s="288">
        <f>ROUNDUP(($T36)*IF($U36&lt;&gt;0,$U36,IF(COUNT($T$9:$T36)&lt;8,20%,25%))*24/5,2)*5/24</f>
        <v>0</v>
      </c>
      <c r="W36" s="285"/>
      <c r="X36" s="289">
        <v>0</v>
      </c>
      <c r="Y36" s="290">
        <f t="shared" si="1"/>
        <v>0</v>
      </c>
      <c r="Z36" s="291">
        <f>IF(OR(TRIM($AF36)="Krank",TRIM($AF36)="Urlaub",TRIM($AF36)="Exerzitien",TRIM($AF36)="Wallfahrt",TRIM($AF36)="Arbeitsbefreiung"),$AD36,IF(OR(TRIM($AF36)="Azubi - Berufsschule",TRIM($AF36)="Azubi - Schriftliche AP",TRIM($AF36)="Azubi - Mündliche AP",TRIM($AF36)="Azubi - Zwischenprüfung",TRIM($AF36)="Azubi - Prüfungsvorbereitung"),VLOOKUP($AF36,Grunddaten!$F$26:$I$31,4,0),IF(TRIM($AF36)="Betriebsausflug",MAX(AD36,(7.8/39)*HLOOKUP($D$6,'AZ-Modell'!$C$7:$N$13,5,0),1/24),IF(AND(OR(TRIM($AF36)="Fortbildung",TRIM($AF36)="Dienstreise"),(+$H36+$M36+$R36+$V36)&lt;$AD36),$AD36,IF(AND(OR(TRIM($AF36)="Fortbildung",TRIM($AF36)="Dienstreise"),$X36&gt;0,(+$H36+$M36+$R36+$V36)&gt;10/24),10/24,$H36+$M36+$R36+$V36)))))</f>
        <v>0</v>
      </c>
      <c r="AA36" s="291">
        <f>IF(AND($C36&gt;=Grunddaten!$C$30,ISERROR(VLOOKUP($C36,Grunddaten!$F$36:$F$59,1,0)),ISERROR(VLOOKUP(TRIM($AF36),Grunddaten!$F$26:$F$26,1,0))),INDEX('AZ-Modell'!$C$16:$N$22,IF(WEEKDAY($C36)=1,7,WEEKDAY($C36)-1),MONTH($C36)),IF(TRIM($AF36)="Dienst (Feiertag)",IFERROR(VLOOKUP($C36,Grunddaten!$F$36:$I$59,4,0),0),0))</f>
        <v>0.32500000000000001</v>
      </c>
      <c r="AB36" s="291">
        <f>IF(AND($C36&gt;=Grunddaten!$C$30,ISERROR(VLOOKUP($C36,Grunddaten!$F$36:$F$59,1,0)),ISERROR(VLOOKUP(TRIM($AF36),Grunddaten!$F$26:$F$26,1,0))),INDEX('AZ-Modell'!$C$26:$N$32,IF(WEEKDAY($C36)=1,7,WEEKDAY($C36)-1),MONTH($C36)),IF(TRIM($AF36)="Dienst (Feiertag)",IFERROR(VLOOKUP($C36,Grunddaten!$F$36:$I$59,4,0),0),0))</f>
        <v>0</v>
      </c>
      <c r="AC36" s="291">
        <f>IF(AND($C36&gt;=Grunddaten!$C$30,ISERROR(VLOOKUP($C36,Grunddaten!$F$36:$F$59,1,0)),ISERROR(VLOOKUP(TRIM($AF36),Grunddaten!$F$26:$F$26,1,0))),INDEX('AZ-Modell'!$C$36:$N$42,IF(WEEKDAY($C36)=1,7,WEEKDAY($C36)-1),MONTH($C36)),IF(TRIM($AF36)="Dienst (Feiertag)",IFERROR(VLOOKUP($C36,Grunddaten!$F$36:$I$59,4,0),0),0))</f>
        <v>0</v>
      </c>
      <c r="AD36" s="291">
        <f t="shared" si="7"/>
        <v>0.32500000000000001</v>
      </c>
      <c r="AE36" s="290">
        <f t="shared" si="11"/>
        <v>-787.79999999999927</v>
      </c>
      <c r="AF36" s="292" t="str">
        <f>IFERROR(VLOOKUP($C36,Grunddaten!$F$36:$G$59,2,0),"")</f>
        <v/>
      </c>
      <c r="AG36" s="293"/>
      <c r="AH36" s="286">
        <v>0</v>
      </c>
      <c r="AI36" s="291">
        <f t="shared" si="8"/>
        <v>0</v>
      </c>
      <c r="AJ36" s="292"/>
      <c r="AK36" s="291">
        <f>IF(OR(TRIM($AF36)="Krank",TRIM($AF36)="Urlaub",TRIM($AF36)="Exerzitien",TRIM($AF36)="Regenerationstag",TRIM($AF36)="Wallfahrt",TRIM($AF36)="Arbeitsbefreiung",TRIM($AF36)="Umwandlungstag"),$AD36,IF(OR(TRIM($AF36)="Azubi - Berufsschule",TRIM($AF36)="Azubi - Schriftliche AP",TRIM($AF36)="Azubi - Mündliche AP",TRIM($AF36)="Azubi - Zwischenprüfung",TRIM($AF36)="Azubi - Prüfungsvorbereitung"),VLOOKUP($AF36,Grunddaten!$F$26:$I$31,4,0),IF(TRIM($AF36)="Namenstag",MAX((4/39)*HLOOKUP($D$6,'AZ-Modell'!$C$7:$N$13,5,0),1/24)+$H36+$M36+$R36+$V36,IF(TRIM($AF36)="Betriebsausflug",MAX(AD36,(7.8/39)*HLOOKUP($D$6,'AZ-Modell'!$C$7:$N$13,5,0),1/24),$H36+$M36+$R36+$V36))))</f>
        <v>0</v>
      </c>
      <c r="AL36" s="291">
        <f t="shared" si="2"/>
        <v>0</v>
      </c>
      <c r="AM36" s="291">
        <f>ROUND(IF(OR(TRIM($AF36)="Krank",TRIM($AF36)="Urlaub",TRIM($AF36)="Exerzitien",TRIM($AF36)="Wallfahrt",TRIM($AF36)="Arbeitsbefreiung",TRIM($AF36)="AZV",TRIM($AF36)="Betriebsausflug",TRIM($AF36)="Namenstag",TRIM($AF36)="Azubi - Berufsschule",TRIM($AF36)="Azubi - Schriftliche AP",TRIM($AF36)="Azubi - Mündliche AP",TRIM($AF36)="Azubi - Zwischenprüfung",TRIM($AF36)="Azubi - Prüfungsvorbereitung"),0,IF((DAYS360(Grunddaten!$C$25,$C36)/360&gt;=18),IF((($H36+$M36+$R36+$T36)*24)&lt;=6,0,IF(AND((($H36+$M36+$R36+$T36)*24)&gt;6,(($H36+$M36+$R36+$T36)*24)&lt;=9),0.5/24,0.75/24)),IF((($H36+$M36+$R36+$T36)*24)&lt;=4.5,0,IF(AND((($H36+$M36+$R36+$T36)*24)&gt;4.5,(($H36+$M36+$R36+$T36)*24)&lt;=6),0.5/24,1/24)))),5)</f>
        <v>0</v>
      </c>
      <c r="AN36" s="332" t="str">
        <f t="shared" si="9"/>
        <v>R</v>
      </c>
    </row>
    <row r="37" spans="1:40" s="294" customFormat="1" ht="21" customHeight="1" x14ac:dyDescent="0.35">
      <c r="A37" s="331">
        <f t="shared" si="3"/>
        <v>22</v>
      </c>
      <c r="B37" s="283" t="str">
        <f t="shared" si="4"/>
        <v>Do.</v>
      </c>
      <c r="C37" s="295">
        <f t="shared" si="10"/>
        <v>45806</v>
      </c>
      <c r="D37" s="285" t="str">
        <f t="shared" si="0"/>
        <v/>
      </c>
      <c r="E37" s="286"/>
      <c r="F37" s="286"/>
      <c r="G37" s="286"/>
      <c r="H37" s="287">
        <f>IF(OR(TRIM($AF37)="Krank",TRIM($AF37)="Urlaub",TRIM($AF37)="Exerzitien",TRIM($AF37)="Wallfahrt",TRIM($AF37)="Arbeitsbefreiung",TRIM($AF37)="Azubi - Berufsschule",TRIM($AF37)="Azubi - Schriftliche AP",TRIM($AF37)="Azubi - Mündliche AP",TRIM($AF37)="Azubi - Zwischenprüfung",TRIM($AF37)="Azubi - Prüfungsvorbereitung"),$AA37,IF(TRIM($AF37)="Betriebsausflug",IF($Z37=$AD37,$AA37,$AA37+($Z37-$AD37)*HLOOKUP($D$6,'AZ-Modell'!$C$7:$N$44,18,0)),IF(F37&lt;&gt;"",IF(E37&gt;F37,1-(E37-F37)-G37,F37-E37-G37),0)))</f>
        <v>0</v>
      </c>
      <c r="I37" s="285" t="str">
        <f t="shared" si="5"/>
        <v/>
      </c>
      <c r="J37" s="286"/>
      <c r="K37" s="286"/>
      <c r="L37" s="286"/>
      <c r="M37" s="287">
        <f>IF(OR(TRIM($AF37)="Krank",TRIM($AF37)="Urlaub",TRIM($AF37)="Exerzitien",TRIM($AF37)="Wallfahrt",TRIM($AF37)="Arbeitsbefreiung",TRIM($AF37)="Azubi - Berufsschule",TRIM($AF37)="Azubi - Schriftliche AP",TRIM($AF37)="Azubi - Mündliche AP",TRIM($AF37)="Azubi - Zwischenprüfung",TRIM($AF37)="Azubi - Prüfungsvorbereitung"),$AB37,IF(TRIM($AF37)="Betriebsausflug",IF($Z37=$AD37,$AB37,$AB37+($Z37-$AD37)*HLOOKUP($D$6,'AZ-Modell'!$C$7:$N$44,28,0)),IF(TRIM($AF37)="Namenstag",MAX((4/39)*HLOOKUP($D$6,'AZ-Modell'!$C$7:$N$13,5,0),1/24)+IF(K37&lt;&gt;"",IF(J37&gt;K37,1-(J37-K37)-L37,K37-J37-L37),0),IF(K37&lt;&gt;"",IF(J37&gt;K37,1-(J37-K37)-L37,K37-J37-L37),0))))</f>
        <v>0</v>
      </c>
      <c r="N37" s="285" t="str">
        <f t="shared" si="6"/>
        <v/>
      </c>
      <c r="O37" s="286"/>
      <c r="P37" s="286"/>
      <c r="Q37" s="286"/>
      <c r="R37" s="287">
        <f>IF(OR(TRIM($AF37)="Krank",TRIM($AF37)="Urlaub",TRIM($AF37)="Exerzitien",TRIM($AF37)="Wallfahrt",TRIM($AF37)="Arbeitsbefreiung",TRIM($AF37)="Azubi - Berufsschule",TRIM($AF37)="Azubi - Schriftliche AP",TRIM($AF37)="Azubi - Mündliche AP",TRIM($AF37)="Azubi - Zwischenprüfung",TRIM($AF37)="Azubi - Prüfungsvorbereitung"),$AC37,IF(TRIM($AF37)="Betriebsausflug",IF($Z37=$AD37,$AC37,$AC37+($Z37-$AD37)*HLOOKUP($D$6,'AZ-Modell'!$C$7:$N$44,38,0)),IF(P37&lt;&gt;"",IF(O37&gt;P37,1-(O37-P37)-Q37,P37-O37-Q37),0)))</f>
        <v>0</v>
      </c>
      <c r="S37" s="285"/>
      <c r="T37" s="286"/>
      <c r="U37" s="286"/>
      <c r="V37" s="288">
        <f>ROUNDUP(($T37)*IF($U37&lt;&gt;0,$U37,IF(COUNT($T$9:$T37)&lt;8,20%,25%))*24/5,2)*5/24</f>
        <v>0</v>
      </c>
      <c r="W37" s="285"/>
      <c r="X37" s="289">
        <v>0</v>
      </c>
      <c r="Y37" s="290">
        <f t="shared" si="1"/>
        <v>0</v>
      </c>
      <c r="Z37" s="291">
        <f>IF(OR(TRIM($AF37)="Krank",TRIM($AF37)="Urlaub",TRIM($AF37)="Exerzitien",TRIM($AF37)="Wallfahrt",TRIM($AF37)="Arbeitsbefreiung"),$AD37,IF(OR(TRIM($AF37)="Azubi - Berufsschule",TRIM($AF37)="Azubi - Schriftliche AP",TRIM($AF37)="Azubi - Mündliche AP",TRIM($AF37)="Azubi - Zwischenprüfung",TRIM($AF37)="Azubi - Prüfungsvorbereitung"),VLOOKUP($AF37,Grunddaten!$F$26:$I$31,4,0),IF(TRIM($AF37)="Betriebsausflug",MAX(AD37,(7.8/39)*HLOOKUP($D$6,'AZ-Modell'!$C$7:$N$13,5,0),1/24),IF(AND(OR(TRIM($AF37)="Fortbildung",TRIM($AF37)="Dienstreise"),(+$H37+$M37+$R37+$V37)&lt;$AD37),$AD37,IF(AND(OR(TRIM($AF37)="Fortbildung",TRIM($AF37)="Dienstreise"),$X37&gt;0,(+$H37+$M37+$R37+$V37)&gt;10/24),10/24,$H37+$M37+$R37+$V37)))))</f>
        <v>0</v>
      </c>
      <c r="AA37" s="291">
        <f>IF(AND($C37&gt;=Grunddaten!$C$30,ISERROR(VLOOKUP($C37,Grunddaten!$F$36:$F$59,1,0)),ISERROR(VLOOKUP(TRIM($AF37),Grunddaten!$F$26:$F$26,1,0))),INDEX('AZ-Modell'!$C$16:$N$22,IF(WEEKDAY($C37)=1,7,WEEKDAY($C37)-1),MONTH($C37)),IF(TRIM($AF37)="Dienst (Feiertag)",IFERROR(VLOOKUP($C37,Grunddaten!$F$36:$I$59,4,0),0),0))</f>
        <v>0</v>
      </c>
      <c r="AB37" s="291">
        <f>IF(AND($C37&gt;=Grunddaten!$C$30,ISERROR(VLOOKUP($C37,Grunddaten!$F$36:$F$59,1,0)),ISERROR(VLOOKUP(TRIM($AF37),Grunddaten!$F$26:$F$26,1,0))),INDEX('AZ-Modell'!$C$26:$N$32,IF(WEEKDAY($C37)=1,7,WEEKDAY($C37)-1),MONTH($C37)),IF(TRIM($AF37)="Dienst (Feiertag)",IFERROR(VLOOKUP($C37,Grunddaten!$F$36:$I$59,4,0),0),0))</f>
        <v>0</v>
      </c>
      <c r="AC37" s="291">
        <f>IF(AND($C37&gt;=Grunddaten!$C$30,ISERROR(VLOOKUP($C37,Grunddaten!$F$36:$F$59,1,0)),ISERROR(VLOOKUP(TRIM($AF37),Grunddaten!$F$26:$F$26,1,0))),INDEX('AZ-Modell'!$C$36:$N$42,IF(WEEKDAY($C37)=1,7,WEEKDAY($C37)-1),MONTH($C37)),IF(TRIM($AF37)="Dienst (Feiertag)",IFERROR(VLOOKUP($C37,Grunddaten!$F$36:$I$59,4,0),0),0))</f>
        <v>0</v>
      </c>
      <c r="AD37" s="291">
        <f t="shared" si="7"/>
        <v>0</v>
      </c>
      <c r="AE37" s="290">
        <f t="shared" si="11"/>
        <v>-787.79999999999927</v>
      </c>
      <c r="AF37" s="292" t="str">
        <f>IFERROR(VLOOKUP($C37,Grunddaten!$F$36:$G$59,2,0),"")</f>
        <v>Christi Himmelfahrt</v>
      </c>
      <c r="AG37" s="293"/>
      <c r="AH37" s="286">
        <v>0</v>
      </c>
      <c r="AI37" s="291">
        <f t="shared" si="8"/>
        <v>0</v>
      </c>
      <c r="AJ37" s="292"/>
      <c r="AK37" s="291">
        <f>IF(OR(TRIM($AF37)="Krank",TRIM($AF37)="Urlaub",TRIM($AF37)="Exerzitien",TRIM($AF37)="Regenerationstag",TRIM($AF37)="Wallfahrt",TRIM($AF37)="Arbeitsbefreiung",TRIM($AF37)="Umwandlungstag"),$AD37,IF(OR(TRIM($AF37)="Azubi - Berufsschule",TRIM($AF37)="Azubi - Schriftliche AP",TRIM($AF37)="Azubi - Mündliche AP",TRIM($AF37)="Azubi - Zwischenprüfung",TRIM($AF37)="Azubi - Prüfungsvorbereitung"),VLOOKUP($AF37,Grunddaten!$F$26:$I$31,4,0),IF(TRIM($AF37)="Namenstag",MAX((4/39)*HLOOKUP($D$6,'AZ-Modell'!$C$7:$N$13,5,0),1/24)+$H37+$M37+$R37+$V37,IF(TRIM($AF37)="Betriebsausflug",MAX(AD37,(7.8/39)*HLOOKUP($D$6,'AZ-Modell'!$C$7:$N$13,5,0),1/24),$H37+$M37+$R37+$V37))))</f>
        <v>0</v>
      </c>
      <c r="AL37" s="291">
        <f t="shared" si="2"/>
        <v>0</v>
      </c>
      <c r="AM37" s="291">
        <f>ROUND(IF(OR(TRIM($AF37)="Krank",TRIM($AF37)="Urlaub",TRIM($AF37)="Exerzitien",TRIM($AF37)="Wallfahrt",TRIM($AF37)="Arbeitsbefreiung",TRIM($AF37)="AZV",TRIM($AF37)="Betriebsausflug",TRIM($AF37)="Namenstag",TRIM($AF37)="Azubi - Berufsschule",TRIM($AF37)="Azubi - Schriftliche AP",TRIM($AF37)="Azubi - Mündliche AP",TRIM($AF37)="Azubi - Zwischenprüfung",TRIM($AF37)="Azubi - Prüfungsvorbereitung"),0,IF((DAYS360(Grunddaten!$C$25,$C37)/360&gt;=18),IF((($H37+$M37+$R37+$T37)*24)&lt;=6,0,IF(AND((($H37+$M37+$R37+$T37)*24)&gt;6,(($H37+$M37+$R37+$T37)*24)&lt;=9),0.5/24,0.75/24)),IF((($H37+$M37+$R37+$T37)*24)&lt;=4.5,0,IF(AND((($H37+$M37+$R37+$T37)*24)&gt;4.5,(($H37+$M37+$R37+$T37)*24)&lt;=6),0.5/24,1/24)))),5)</f>
        <v>0</v>
      </c>
      <c r="AN37" s="332" t="str">
        <f t="shared" si="9"/>
        <v>R</v>
      </c>
    </row>
    <row r="38" spans="1:40" s="294" customFormat="1" ht="21" customHeight="1" x14ac:dyDescent="0.35">
      <c r="A38" s="331">
        <f t="shared" si="3"/>
        <v>22</v>
      </c>
      <c r="B38" s="283" t="str">
        <f t="shared" si="4"/>
        <v>Fr.</v>
      </c>
      <c r="C38" s="295">
        <f t="shared" si="10"/>
        <v>45807</v>
      </c>
      <c r="D38" s="285" t="str">
        <f t="shared" si="0"/>
        <v/>
      </c>
      <c r="E38" s="286"/>
      <c r="F38" s="286"/>
      <c r="G38" s="286"/>
      <c r="H38" s="287">
        <f>IF(OR(TRIM($AF38)="Krank",TRIM($AF38)="Urlaub",TRIM($AF38)="Exerzitien",TRIM($AF38)="Wallfahrt",TRIM($AF38)="Arbeitsbefreiung",TRIM($AF38)="Azubi - Berufsschule",TRIM($AF38)="Azubi - Schriftliche AP",TRIM($AF38)="Azubi - Mündliche AP",TRIM($AF38)="Azubi - Zwischenprüfung",TRIM($AF38)="Azubi - Prüfungsvorbereitung"),$AA38,IF(TRIM($AF38)="Betriebsausflug",IF($Z38=$AD38,$AA38,$AA38+($Z38-$AD38)*HLOOKUP($D$6,'AZ-Modell'!$C$7:$N$44,18,0)),IF(F38&lt;&gt;"",IF(E38&gt;F38,1-(E38-F38)-G38,F38-E38-G38),0)))</f>
        <v>0</v>
      </c>
      <c r="I38" s="285" t="str">
        <f t="shared" si="5"/>
        <v/>
      </c>
      <c r="J38" s="286"/>
      <c r="K38" s="286"/>
      <c r="L38" s="286"/>
      <c r="M38" s="287">
        <f>IF(OR(TRIM($AF38)="Krank",TRIM($AF38)="Urlaub",TRIM($AF38)="Exerzitien",TRIM($AF38)="Wallfahrt",TRIM($AF38)="Arbeitsbefreiung",TRIM($AF38)="Azubi - Berufsschule",TRIM($AF38)="Azubi - Schriftliche AP",TRIM($AF38)="Azubi - Mündliche AP",TRIM($AF38)="Azubi - Zwischenprüfung",TRIM($AF38)="Azubi - Prüfungsvorbereitung"),$AB38,IF(TRIM($AF38)="Betriebsausflug",IF($Z38=$AD38,$AB38,$AB38+($Z38-$AD38)*HLOOKUP($D$6,'AZ-Modell'!$C$7:$N$44,28,0)),IF(TRIM($AF38)="Namenstag",MAX((4/39)*HLOOKUP($D$6,'AZ-Modell'!$C$7:$N$13,5,0),1/24)+IF(K38&lt;&gt;"",IF(J38&gt;K38,1-(J38-K38)-L38,K38-J38-L38),0),IF(K38&lt;&gt;"",IF(J38&gt;K38,1-(J38-K38)-L38,K38-J38-L38),0))))</f>
        <v>0</v>
      </c>
      <c r="N38" s="285" t="str">
        <f t="shared" si="6"/>
        <v/>
      </c>
      <c r="O38" s="286"/>
      <c r="P38" s="286"/>
      <c r="Q38" s="286"/>
      <c r="R38" s="287">
        <f>IF(OR(TRIM($AF38)="Krank",TRIM($AF38)="Urlaub",TRIM($AF38)="Exerzitien",TRIM($AF38)="Wallfahrt",TRIM($AF38)="Arbeitsbefreiung",TRIM($AF38)="Azubi - Berufsschule",TRIM($AF38)="Azubi - Schriftliche AP",TRIM($AF38)="Azubi - Mündliche AP",TRIM($AF38)="Azubi - Zwischenprüfung",TRIM($AF38)="Azubi - Prüfungsvorbereitung"),$AC38,IF(TRIM($AF38)="Betriebsausflug",IF($Z38=$AD38,$AC38,$AC38+($Z38-$AD38)*HLOOKUP($D$6,'AZ-Modell'!$C$7:$N$44,38,0)),IF(P38&lt;&gt;"",IF(O38&gt;P38,1-(O38-P38)-Q38,P38-O38-Q38),0)))</f>
        <v>0</v>
      </c>
      <c r="S38" s="285"/>
      <c r="T38" s="286"/>
      <c r="U38" s="286"/>
      <c r="V38" s="288">
        <f>ROUNDUP(($T38)*IF($U38&lt;&gt;0,$U38,IF(COUNT($T$9:$T38)&lt;8,20%,25%))*24/5,2)*5/24</f>
        <v>0</v>
      </c>
      <c r="W38" s="285"/>
      <c r="X38" s="289">
        <v>0</v>
      </c>
      <c r="Y38" s="290">
        <f t="shared" si="1"/>
        <v>0</v>
      </c>
      <c r="Z38" s="291">
        <f>IF(OR(TRIM($AF38)="Krank",TRIM($AF38)="Urlaub",TRIM($AF38)="Exerzitien",TRIM($AF38)="Wallfahrt",TRIM($AF38)="Arbeitsbefreiung"),$AD38,IF(OR(TRIM($AF38)="Azubi - Berufsschule",TRIM($AF38)="Azubi - Schriftliche AP",TRIM($AF38)="Azubi - Mündliche AP",TRIM($AF38)="Azubi - Zwischenprüfung",TRIM($AF38)="Azubi - Prüfungsvorbereitung"),VLOOKUP($AF38,Grunddaten!$F$26:$I$31,4,0),IF(TRIM($AF38)="Betriebsausflug",MAX(AD38,(7.8/39)*HLOOKUP($D$6,'AZ-Modell'!$C$7:$N$13,5,0),1/24),IF(AND(OR(TRIM($AF38)="Fortbildung",TRIM($AF38)="Dienstreise"),(+$H38+$M38+$R38+$V38)&lt;$AD38),$AD38,IF(AND(OR(TRIM($AF38)="Fortbildung",TRIM($AF38)="Dienstreise"),$X38&gt;0,(+$H38+$M38+$R38+$V38)&gt;10/24),10/24,$H38+$M38+$R38+$V38)))))</f>
        <v>0</v>
      </c>
      <c r="AA38" s="291">
        <f>IF(AND($C38&gt;=Grunddaten!$C$30,ISERROR(VLOOKUP($C38,Grunddaten!$F$36:$F$59,1,0)),ISERROR(VLOOKUP(TRIM($AF38),Grunddaten!$F$26:$F$26,1,0))),INDEX('AZ-Modell'!$C$16:$N$22,IF(WEEKDAY($C38)=1,7,WEEKDAY($C38)-1),MONTH($C38)),IF(TRIM($AF38)="Dienst (Feiertag)",IFERROR(VLOOKUP($C38,Grunddaten!$F$36:$I$59,4,0),0),0))</f>
        <v>0.32500000000000001</v>
      </c>
      <c r="AB38" s="291">
        <f>IF(AND($C38&gt;=Grunddaten!$C$30,ISERROR(VLOOKUP($C38,Grunddaten!$F$36:$F$59,1,0)),ISERROR(VLOOKUP(TRIM($AF38),Grunddaten!$F$26:$F$26,1,0))),INDEX('AZ-Modell'!$C$26:$N$32,IF(WEEKDAY($C38)=1,7,WEEKDAY($C38)-1),MONTH($C38)),IF(TRIM($AF38)="Dienst (Feiertag)",IFERROR(VLOOKUP($C38,Grunddaten!$F$36:$I$59,4,0),0),0))</f>
        <v>0</v>
      </c>
      <c r="AC38" s="291">
        <f>IF(AND($C38&gt;=Grunddaten!$C$30,ISERROR(VLOOKUP($C38,Grunddaten!$F$36:$F$59,1,0)),ISERROR(VLOOKUP(TRIM($AF38),Grunddaten!$F$26:$F$26,1,0))),INDEX('AZ-Modell'!$C$36:$N$42,IF(WEEKDAY($C38)=1,7,WEEKDAY($C38)-1),MONTH($C38)),IF(TRIM($AF38)="Dienst (Feiertag)",IFERROR(VLOOKUP($C38,Grunddaten!$F$36:$I$59,4,0),0),0))</f>
        <v>0</v>
      </c>
      <c r="AD38" s="291">
        <f t="shared" si="7"/>
        <v>0.32500000000000001</v>
      </c>
      <c r="AE38" s="290">
        <f t="shared" si="11"/>
        <v>-795.59999999999923</v>
      </c>
      <c r="AF38" s="292" t="str">
        <f>IFERROR(VLOOKUP($C38,Grunddaten!$F$36:$G$59,2,0),"")</f>
        <v/>
      </c>
      <c r="AG38" s="293"/>
      <c r="AH38" s="286">
        <v>0</v>
      </c>
      <c r="AI38" s="291">
        <f t="shared" si="8"/>
        <v>0</v>
      </c>
      <c r="AJ38" s="292"/>
      <c r="AK38" s="291">
        <f>IF(OR(TRIM($AF38)="Krank",TRIM($AF38)="Urlaub",TRIM($AF38)="Exerzitien",TRIM($AF38)="Regenerationstag",TRIM($AF38)="Wallfahrt",TRIM($AF38)="Arbeitsbefreiung",TRIM($AF38)="Umwandlungstag"),$AD38,IF(OR(TRIM($AF38)="Azubi - Berufsschule",TRIM($AF38)="Azubi - Schriftliche AP",TRIM($AF38)="Azubi - Mündliche AP",TRIM($AF38)="Azubi - Zwischenprüfung",TRIM($AF38)="Azubi - Prüfungsvorbereitung"),VLOOKUP($AF38,Grunddaten!$F$26:$I$31,4,0),IF(TRIM($AF38)="Namenstag",MAX((4/39)*HLOOKUP($D$6,'AZ-Modell'!$C$7:$N$13,5,0),1/24)+$H38+$M38+$R38+$V38,IF(TRIM($AF38)="Betriebsausflug",MAX(AD38,(7.8/39)*HLOOKUP($D$6,'AZ-Modell'!$C$7:$N$13,5,0),1/24),$H38+$M38+$R38+$V38))))</f>
        <v>0</v>
      </c>
      <c r="AL38" s="291">
        <f t="shared" si="2"/>
        <v>0</v>
      </c>
      <c r="AM38" s="291">
        <f>ROUND(IF(OR(TRIM($AF38)="Krank",TRIM($AF38)="Urlaub",TRIM($AF38)="Exerzitien",TRIM($AF38)="Wallfahrt",TRIM($AF38)="Arbeitsbefreiung",TRIM($AF38)="AZV",TRIM($AF38)="Betriebsausflug",TRIM($AF38)="Namenstag",TRIM($AF38)="Azubi - Berufsschule",TRIM($AF38)="Azubi - Schriftliche AP",TRIM($AF38)="Azubi - Mündliche AP",TRIM($AF38)="Azubi - Zwischenprüfung",TRIM($AF38)="Azubi - Prüfungsvorbereitung"),0,IF((DAYS360(Grunddaten!$C$25,$C38)/360&gt;=18),IF((($H38+$M38+$R38+$T38)*24)&lt;=6,0,IF(AND((($H38+$M38+$R38+$T38)*24)&gt;6,(($H38+$M38+$R38+$T38)*24)&lt;=9),0.5/24,0.75/24)),IF((($H38+$M38+$R38+$T38)*24)&lt;=4.5,0,IF(AND((($H38+$M38+$R38+$T38)*24)&gt;4.5,(($H38+$M38+$R38+$T38)*24)&lt;=6),0.5/24,1/24)))),5)</f>
        <v>0</v>
      </c>
      <c r="AN38" s="332" t="str">
        <f t="shared" si="9"/>
        <v>R</v>
      </c>
    </row>
    <row r="39" spans="1:40" s="294" customFormat="1" ht="21" customHeight="1" x14ac:dyDescent="0.35">
      <c r="A39" s="331">
        <f t="shared" si="3"/>
        <v>22</v>
      </c>
      <c r="B39" s="283" t="str">
        <f t="shared" si="4"/>
        <v>Sa.</v>
      </c>
      <c r="C39" s="295">
        <f t="shared" si="10"/>
        <v>45808</v>
      </c>
      <c r="D39" s="285" t="str">
        <f t="shared" si="0"/>
        <v/>
      </c>
      <c r="E39" s="286"/>
      <c r="F39" s="286"/>
      <c r="G39" s="286"/>
      <c r="H39" s="287">
        <f>IF(OR(TRIM($AF39)="Krank",TRIM($AF39)="Urlaub",TRIM($AF39)="Exerzitien",TRIM($AF39)="Wallfahrt",TRIM($AF39)="Arbeitsbefreiung",TRIM($AF39)="Azubi - Berufsschule",TRIM($AF39)="Azubi - Schriftliche AP",TRIM($AF39)="Azubi - Mündliche AP",TRIM($AF39)="Azubi - Zwischenprüfung",TRIM($AF39)="Azubi - Prüfungsvorbereitung"),$AA39,IF(TRIM($AF39)="Betriebsausflug",IF($Z39=$AD39,$AA39,$AA39+($Z39-$AD39)*HLOOKUP($D$6,'AZ-Modell'!$C$7:$N$44,18,0)),IF(F39&lt;&gt;"",IF(E39&gt;F39,1-(E39-F39)-G39,F39-E39-G39),0)))</f>
        <v>0</v>
      </c>
      <c r="I39" s="285" t="str">
        <f t="shared" si="5"/>
        <v/>
      </c>
      <c r="J39" s="286"/>
      <c r="K39" s="286"/>
      <c r="L39" s="286"/>
      <c r="M39" s="287">
        <f>IF(OR(TRIM($AF39)="Krank",TRIM($AF39)="Urlaub",TRIM($AF39)="Exerzitien",TRIM($AF39)="Wallfahrt",TRIM($AF39)="Arbeitsbefreiung",TRIM($AF39)="Azubi - Berufsschule",TRIM($AF39)="Azubi - Schriftliche AP",TRIM($AF39)="Azubi - Mündliche AP",TRIM($AF39)="Azubi - Zwischenprüfung",TRIM($AF39)="Azubi - Prüfungsvorbereitung"),$AB39,IF(TRIM($AF39)="Betriebsausflug",IF($Z39=$AD39,$AB39,$AB39+($Z39-$AD39)*HLOOKUP($D$6,'AZ-Modell'!$C$7:$N$44,28,0)),IF(TRIM($AF39)="Namenstag",MAX((4/39)*HLOOKUP($D$6,'AZ-Modell'!$C$7:$N$13,5,0),1/24)+IF(K39&lt;&gt;"",IF(J39&gt;K39,1-(J39-K39)-L39,K39-J39-L39),0),IF(K39&lt;&gt;"",IF(J39&gt;K39,1-(J39-K39)-L39,K39-J39-L39),0))))</f>
        <v>0</v>
      </c>
      <c r="N39" s="285" t="str">
        <f t="shared" si="6"/>
        <v/>
      </c>
      <c r="O39" s="286"/>
      <c r="P39" s="286"/>
      <c r="Q39" s="286"/>
      <c r="R39" s="287">
        <f>IF(OR(TRIM($AF39)="Krank",TRIM($AF39)="Urlaub",TRIM($AF39)="Exerzitien",TRIM($AF39)="Wallfahrt",TRIM($AF39)="Arbeitsbefreiung",TRIM($AF39)="Azubi - Berufsschule",TRIM($AF39)="Azubi - Schriftliche AP",TRIM($AF39)="Azubi - Mündliche AP",TRIM($AF39)="Azubi - Zwischenprüfung",TRIM($AF39)="Azubi - Prüfungsvorbereitung"),$AC39,IF(TRIM($AF39)="Betriebsausflug",IF($Z39=$AD39,$AC39,$AC39+($Z39-$AD39)*HLOOKUP($D$6,'AZ-Modell'!$C$7:$N$44,38,0)),IF(P39&lt;&gt;"",IF(O39&gt;P39,1-(O39-P39)-Q39,P39-O39-Q39),0)))</f>
        <v>0</v>
      </c>
      <c r="S39" s="285"/>
      <c r="T39" s="286"/>
      <c r="U39" s="286"/>
      <c r="V39" s="288">
        <f>ROUNDUP(($T39)*IF($U39&lt;&gt;0,$U39,IF(COUNT($T$9:$T39)&lt;8,20%,25%))*24/5,2)*5/24</f>
        <v>0</v>
      </c>
      <c r="W39" s="285"/>
      <c r="X39" s="289">
        <v>0</v>
      </c>
      <c r="Y39" s="290">
        <f t="shared" si="1"/>
        <v>0</v>
      </c>
      <c r="Z39" s="291">
        <f>IF(OR(TRIM($AF39)="Krank",TRIM($AF39)="Urlaub",TRIM($AF39)="Exerzitien",TRIM($AF39)="Wallfahrt",TRIM($AF39)="Arbeitsbefreiung"),$AD39,IF(OR(TRIM($AF39)="Azubi - Berufsschule",TRIM($AF39)="Azubi - Schriftliche AP",TRIM($AF39)="Azubi - Mündliche AP",TRIM($AF39)="Azubi - Zwischenprüfung",TRIM($AF39)="Azubi - Prüfungsvorbereitung"),VLOOKUP($AF39,Grunddaten!$F$26:$I$31,4,0),IF(TRIM($AF39)="Betriebsausflug",MAX(AD39,(7.8/39)*HLOOKUP($D$6,'AZ-Modell'!$C$7:$N$13,5,0),1/24),IF(AND(OR(TRIM($AF39)="Fortbildung",TRIM($AF39)="Dienstreise"),(+$H39+$M39+$R39+$V39)&lt;$AD39),$AD39,IF(AND(OR(TRIM($AF39)="Fortbildung",TRIM($AF39)="Dienstreise"),$X39&gt;0,(+$H39+$M39+$R39+$V39)&gt;10/24),10/24,$H39+$M39+$R39+$V39)))))</f>
        <v>0</v>
      </c>
      <c r="AA39" s="291">
        <f>IF(AND($C39&gt;=Grunddaten!$C$30,ISERROR(VLOOKUP($C39,Grunddaten!$F$36:$F$59,1,0)),ISERROR(VLOOKUP(TRIM($AF39),Grunddaten!$F$26:$F$26,1,0))),INDEX('AZ-Modell'!$C$16:$N$22,IF(WEEKDAY($C39)=1,7,WEEKDAY($C39)-1),MONTH($C39)),IF(TRIM($AF39)="Dienst (Feiertag)",IFERROR(VLOOKUP($C39,Grunddaten!$F$36:$I$59,4,0),0),0))</f>
        <v>0</v>
      </c>
      <c r="AB39" s="291">
        <f>IF(AND($C39&gt;=Grunddaten!$C$30,ISERROR(VLOOKUP($C39,Grunddaten!$F$36:$F$59,1,0)),ISERROR(VLOOKUP(TRIM($AF39),Grunddaten!$F$26:$F$26,1,0))),INDEX('AZ-Modell'!$C$26:$N$32,IF(WEEKDAY($C39)=1,7,WEEKDAY($C39)-1),MONTH($C39)),IF(TRIM($AF39)="Dienst (Feiertag)",IFERROR(VLOOKUP($C39,Grunddaten!$F$36:$I$59,4,0),0),0))</f>
        <v>0</v>
      </c>
      <c r="AC39" s="291">
        <f>IF(AND($C39&gt;=Grunddaten!$C$30,ISERROR(VLOOKUP($C39,Grunddaten!$F$36:$F$59,1,0)),ISERROR(VLOOKUP(TRIM($AF39),Grunddaten!$F$26:$F$26,1,0))),INDEX('AZ-Modell'!$C$36:$N$42,IF(WEEKDAY($C39)=1,7,WEEKDAY($C39)-1),MONTH($C39)),IF(TRIM($AF39)="Dienst (Feiertag)",IFERROR(VLOOKUP($C39,Grunddaten!$F$36:$I$59,4,0),0),0))</f>
        <v>0</v>
      </c>
      <c r="AD39" s="291">
        <f t="shared" si="7"/>
        <v>0</v>
      </c>
      <c r="AE39" s="290">
        <f t="shared" si="11"/>
        <v>-795.59999999999923</v>
      </c>
      <c r="AF39" s="292" t="str">
        <f>IFERROR(VLOOKUP($C39,Grunddaten!$F$36:$G$59,2,0),"")</f>
        <v/>
      </c>
      <c r="AG39" s="293"/>
      <c r="AH39" s="286">
        <v>0</v>
      </c>
      <c r="AI39" s="291">
        <f t="shared" si="8"/>
        <v>0</v>
      </c>
      <c r="AJ39" s="292"/>
      <c r="AK39" s="291">
        <f>IF(OR(TRIM($AF39)="Krank",TRIM($AF39)="Urlaub",TRIM($AF39)="Exerzitien",TRIM($AF39)="Regenerationstag",TRIM($AF39)="Wallfahrt",TRIM($AF39)="Arbeitsbefreiung",TRIM($AF39)="Umwandlungstag"),$AD39,IF(OR(TRIM($AF39)="Azubi - Berufsschule",TRIM($AF39)="Azubi - Schriftliche AP",TRIM($AF39)="Azubi - Mündliche AP",TRIM($AF39)="Azubi - Zwischenprüfung",TRIM($AF39)="Azubi - Prüfungsvorbereitung"),VLOOKUP($AF39,Grunddaten!$F$26:$I$31,4,0),IF(TRIM($AF39)="Namenstag",MAX((4/39)*HLOOKUP($D$6,'AZ-Modell'!$C$7:$N$13,5,0),1/24)+$H39+$M39+$R39+$V39,IF(TRIM($AF39)="Betriebsausflug",MAX(AD39,(7.8/39)*HLOOKUP($D$6,'AZ-Modell'!$C$7:$N$13,5,0),1/24),$H39+$M39+$R39+$V39))))</f>
        <v>0</v>
      </c>
      <c r="AL39" s="291">
        <f t="shared" si="2"/>
        <v>0</v>
      </c>
      <c r="AM39" s="291">
        <f>ROUND(IF(OR(TRIM($AF39)="Krank",TRIM($AF39)="Urlaub",TRIM($AF39)="Exerzitien",TRIM($AF39)="Wallfahrt",TRIM($AF39)="Arbeitsbefreiung",TRIM($AF39)="AZV",TRIM($AF39)="Betriebsausflug",TRIM($AF39)="Namenstag",TRIM($AF39)="Azubi - Berufsschule",TRIM($AF39)="Azubi - Schriftliche AP",TRIM($AF39)="Azubi - Mündliche AP",TRIM($AF39)="Azubi - Zwischenprüfung",TRIM($AF39)="Azubi - Prüfungsvorbereitung"),0,IF((DAYS360(Grunddaten!$C$25,$C39)/360&gt;=18),IF((($H39+$M39+$R39+$T39)*24)&lt;=6,0,IF(AND((($H39+$M39+$R39+$T39)*24)&gt;6,(($H39+$M39+$R39+$T39)*24)&lt;=9),0.5/24,0.75/24)),IF((($H39+$M39+$R39+$T39)*24)&lt;=4.5,0,IF(AND((($H39+$M39+$R39+$T39)*24)&gt;4.5,(($H39+$M39+$R39+$T39)*24)&lt;=6),0.5/24,1/24)))),5)</f>
        <v>0</v>
      </c>
      <c r="AN39" s="332" t="str">
        <f t="shared" si="9"/>
        <v>R</v>
      </c>
    </row>
    <row r="40" spans="1:40" s="341" customFormat="1" ht="27" customHeight="1" x14ac:dyDescent="0.35">
      <c r="A40" s="333"/>
      <c r="B40" s="334"/>
      <c r="C40" s="334"/>
      <c r="D40" s="334"/>
      <c r="E40" s="335"/>
      <c r="F40" s="335"/>
      <c r="G40" s="335"/>
      <c r="H40" s="335"/>
      <c r="I40" s="335"/>
      <c r="J40" s="335"/>
      <c r="K40" s="335"/>
      <c r="L40" s="335"/>
      <c r="M40" s="335"/>
      <c r="N40" s="335"/>
      <c r="O40" s="335"/>
      <c r="P40" s="335"/>
      <c r="Q40" s="335"/>
      <c r="R40" s="335"/>
      <c r="S40" s="335"/>
      <c r="T40" s="335"/>
      <c r="U40" s="335"/>
      <c r="V40" s="336">
        <f t="shared" ref="V40" si="12">SUM(V9:V39)</f>
        <v>0</v>
      </c>
      <c r="W40" s="336"/>
      <c r="X40" s="336">
        <f t="shared" ref="X40" si="13">SUM(X9:X39)</f>
        <v>0</v>
      </c>
      <c r="Y40" s="338">
        <f>SUM(Y9:Y39)</f>
        <v>0</v>
      </c>
      <c r="Z40" s="336">
        <f>SUM(Z9:Z39)</f>
        <v>0</v>
      </c>
      <c r="AA40" s="336">
        <f t="shared" ref="AA40:AC40" si="14">SUM(AA9:AA39)</f>
        <v>6.5000000000000018</v>
      </c>
      <c r="AB40" s="336">
        <f t="shared" si="14"/>
        <v>0</v>
      </c>
      <c r="AC40" s="336">
        <f t="shared" si="14"/>
        <v>0</v>
      </c>
      <c r="AD40" s="336">
        <f>SUM(AD9:AD39)</f>
        <v>6.5000000000000018</v>
      </c>
      <c r="AE40" s="338">
        <f>(Z40-AD40)*24+I44</f>
        <v>-795.60000000000014</v>
      </c>
      <c r="AF40" s="335"/>
      <c r="AG40" s="335"/>
      <c r="AH40" s="336">
        <f>SUM(AH9:AH39)</f>
        <v>0</v>
      </c>
      <c r="AI40" s="336">
        <f>SUM(AI9:AI39)</f>
        <v>0</v>
      </c>
      <c r="AJ40" s="335"/>
      <c r="AK40" s="339"/>
      <c r="AL40" s="335"/>
      <c r="AM40" s="335"/>
      <c r="AN40" s="340"/>
    </row>
    <row r="41" spans="1:40" s="201" customFormat="1" ht="9" customHeight="1" x14ac:dyDescent="0.2">
      <c r="A41" s="200"/>
      <c r="B41" s="200"/>
      <c r="C41" s="200"/>
      <c r="D41" s="200"/>
      <c r="V41" s="202"/>
      <c r="W41" s="202"/>
      <c r="X41" s="202"/>
      <c r="Y41" s="202"/>
      <c r="AD41" s="203"/>
      <c r="AE41" s="252"/>
      <c r="AG41" s="205"/>
    </row>
    <row r="42" spans="1:40" s="206" customFormat="1" ht="15" customHeight="1" x14ac:dyDescent="0.3">
      <c r="A42" s="436" t="s">
        <v>161</v>
      </c>
      <c r="B42" s="437"/>
      <c r="C42" s="437"/>
      <c r="D42" s="437"/>
      <c r="E42" s="437"/>
      <c r="F42" s="437"/>
      <c r="G42" s="438"/>
      <c r="H42" s="347" t="s">
        <v>155</v>
      </c>
      <c r="I42" s="448" t="s">
        <v>107</v>
      </c>
      <c r="J42" s="449"/>
      <c r="L42" s="207" t="s">
        <v>162</v>
      </c>
      <c r="S42" s="210"/>
      <c r="U42" s="208"/>
      <c r="V42" s="208"/>
      <c r="W42" s="209"/>
      <c r="X42" s="210"/>
      <c r="Y42" s="210"/>
      <c r="AE42" s="253"/>
      <c r="AG42" s="318" t="s">
        <v>167</v>
      </c>
      <c r="AH42" s="319"/>
      <c r="AI42" s="320"/>
      <c r="AJ42" s="320"/>
      <c r="AK42" s="321" t="s">
        <v>304</v>
      </c>
      <c r="AL42" s="322" t="str">
        <f>$D$6</f>
        <v>MAI</v>
      </c>
      <c r="AM42" s="453" t="s">
        <v>137</v>
      </c>
      <c r="AN42" s="454"/>
    </row>
    <row r="43" spans="1:40" s="208" customFormat="1" ht="15" customHeight="1" x14ac:dyDescent="0.3">
      <c r="A43" s="439" t="str">
        <f>IF(I43&lt;0,"Zeitdefizit aktueller Monat","Zeitguthaben aktueller Monat")</f>
        <v>Zeitdefizit aktueller Monat</v>
      </c>
      <c r="B43" s="440"/>
      <c r="C43" s="440"/>
      <c r="D43" s="440"/>
      <c r="E43" s="440"/>
      <c r="F43" s="440"/>
      <c r="G43" s="441"/>
      <c r="H43" s="212">
        <f>IF(I43&lt;0,I43*-1/24,I43/24)</f>
        <v>6.5000000000000027</v>
      </c>
      <c r="I43" s="430">
        <f>(Z40-AD40)*24</f>
        <v>-156.00000000000006</v>
      </c>
      <c r="J43" s="431"/>
      <c r="L43" s="208" t="s">
        <v>163</v>
      </c>
      <c r="P43" s="213">
        <f>'AZ-Modell'!G9</f>
        <v>5</v>
      </c>
      <c r="U43" s="214"/>
      <c r="V43" s="214"/>
      <c r="W43" s="214"/>
      <c r="AE43" s="254"/>
      <c r="AG43" s="457" t="s">
        <v>32</v>
      </c>
      <c r="AH43" s="458"/>
      <c r="AI43" s="297"/>
      <c r="AJ43" s="297"/>
      <c r="AK43" s="298">
        <f>April!AM43</f>
        <v>0</v>
      </c>
      <c r="AL43" s="298">
        <f>COUNTIF($AF$9:$AF$39,$AG43)</f>
        <v>0</v>
      </c>
      <c r="AM43" s="455">
        <f>SUM(AK43:AL43)</f>
        <v>0</v>
      </c>
      <c r="AN43" s="456"/>
    </row>
    <row r="44" spans="1:40" s="208" customFormat="1" ht="15" customHeight="1" x14ac:dyDescent="0.3">
      <c r="A44" s="439" t="str">
        <f>IF(I44&lt;0,"Zeitdefizit Vormonat","Zeitguthaben Vormonat")</f>
        <v>Zeitdefizit Vormonat</v>
      </c>
      <c r="B44" s="440"/>
      <c r="C44" s="440"/>
      <c r="D44" s="440"/>
      <c r="E44" s="440"/>
      <c r="F44" s="440"/>
      <c r="G44" s="441"/>
      <c r="H44" s="218">
        <f>IF(I44&lt;0,I44*-1/24,I44/24)</f>
        <v>26.650000000000006</v>
      </c>
      <c r="I44" s="430">
        <f>April!I46</f>
        <v>-639.60000000000014</v>
      </c>
      <c r="J44" s="431"/>
      <c r="L44" s="208" t="s">
        <v>164</v>
      </c>
      <c r="P44" s="220">
        <f>'AZ-Modell'!G11</f>
        <v>1.625</v>
      </c>
      <c r="U44" s="214"/>
      <c r="V44" s="214"/>
      <c r="W44" s="214"/>
      <c r="AE44" s="254"/>
      <c r="AG44" s="457" t="s">
        <v>41</v>
      </c>
      <c r="AH44" s="458"/>
      <c r="AI44" s="297"/>
      <c r="AJ44" s="297"/>
      <c r="AK44" s="298">
        <f>April!AM44</f>
        <v>0</v>
      </c>
      <c r="AL44" s="298">
        <f>COUNTIF($AF$9:$AF$39,$AG44)</f>
        <v>0</v>
      </c>
      <c r="AM44" s="455">
        <f t="shared" ref="AM44" si="15">SUM(AK44:AL44)</f>
        <v>0</v>
      </c>
      <c r="AN44" s="456"/>
    </row>
    <row r="45" spans="1:40" s="208" customFormat="1" ht="15.75" hidden="1" customHeight="1" x14ac:dyDescent="0.3">
      <c r="A45" s="348" t="s">
        <v>165</v>
      </c>
      <c r="B45" s="221"/>
      <c r="C45" s="221"/>
      <c r="D45" s="221"/>
      <c r="E45" s="221"/>
      <c r="F45" s="222"/>
      <c r="H45" s="218">
        <f>IF(J45&lt;0,J45*-1/24,J45/24)</f>
        <v>0</v>
      </c>
      <c r="I45" s="262"/>
      <c r="J45" s="349">
        <v>0</v>
      </c>
      <c r="P45" s="223"/>
      <c r="AE45" s="254"/>
      <c r="AG45" s="323" t="s">
        <v>43</v>
      </c>
      <c r="AH45" s="299"/>
      <c r="AI45" s="297"/>
      <c r="AJ45" s="297"/>
      <c r="AK45" s="298">
        <f>April!AM45</f>
        <v>0</v>
      </c>
      <c r="AL45" s="298">
        <f t="shared" ref="AL45:AL46" si="16">COUNTIF($AF$9:$AF$39,$AG45)</f>
        <v>0</v>
      </c>
      <c r="AM45" s="455">
        <f t="shared" ref="AM45:AM48" si="17">SUM(AK45:AL45)</f>
        <v>0</v>
      </c>
      <c r="AN45" s="456"/>
    </row>
    <row r="46" spans="1:40" s="208" customFormat="1" ht="15" customHeight="1" collapsed="1" x14ac:dyDescent="0.3">
      <c r="A46" s="442" t="str">
        <f>IF(I46&lt;0,"Gesamtes Zeitdefizit","Gesamtes Zeitguthaben")</f>
        <v>Gesamtes Zeitdefizit</v>
      </c>
      <c r="B46" s="443"/>
      <c r="C46" s="443"/>
      <c r="D46" s="443"/>
      <c r="E46" s="443"/>
      <c r="F46" s="443"/>
      <c r="G46" s="444"/>
      <c r="H46" s="350">
        <f>IF(I46&lt;0,I46*-1/24,I46/24)</f>
        <v>33.150000000000006</v>
      </c>
      <c r="I46" s="432">
        <f>SUM(I43:I45)</f>
        <v>-795.60000000000014</v>
      </c>
      <c r="J46" s="433"/>
      <c r="L46" s="450" t="str">
        <f ca="1">IF(P46&lt;&gt;"","Hinweis:","")</f>
        <v/>
      </c>
      <c r="M46" s="450"/>
      <c r="N46" s="450"/>
      <c r="O46" s="450"/>
      <c r="P46" s="475" t="str">
        <f ca="1">IF(TODAY()&gt;=C39,IF((I46/24)&gt;P44,"Ihr Zeitguthaben ist größer als die mit Ihnen vereinbarte Wochenarbeitszeit. Bitte setzen Sie sich mit Ihrem Vorgesetzten in Verbindung.",IF((I46/24)&lt;0,"Es liegt ein Zeitdefizit vor. Bitte setzen Sie sich mit Ihrem Vorgesetzten in Verbindung.","Ihr Zeitguthaben ist in Ordnung")),"")</f>
        <v/>
      </c>
      <c r="Q46" s="475"/>
      <c r="R46" s="475"/>
      <c r="S46" s="475"/>
      <c r="T46" s="475"/>
      <c r="U46" s="475"/>
      <c r="V46" s="475"/>
      <c r="W46" s="475"/>
      <c r="X46" s="475"/>
      <c r="Y46" s="475"/>
      <c r="Z46" s="475"/>
      <c r="AA46" s="475"/>
      <c r="AB46" s="475"/>
      <c r="AC46" s="475"/>
      <c r="AD46" s="475"/>
      <c r="AE46" s="475"/>
      <c r="AF46" s="475"/>
      <c r="AG46" s="323" t="s">
        <v>43</v>
      </c>
      <c r="AH46" s="299"/>
      <c r="AI46" s="297"/>
      <c r="AJ46" s="297"/>
      <c r="AK46" s="298">
        <f>April!AM46</f>
        <v>0</v>
      </c>
      <c r="AL46" s="298">
        <f t="shared" si="16"/>
        <v>0</v>
      </c>
      <c r="AM46" s="455">
        <f t="shared" si="17"/>
        <v>0</v>
      </c>
      <c r="AN46" s="456"/>
    </row>
    <row r="47" spans="1:40" s="208" customFormat="1" ht="14" x14ac:dyDescent="0.3">
      <c r="A47" s="223"/>
      <c r="B47" s="223"/>
      <c r="C47" s="225"/>
      <c r="D47" s="225"/>
      <c r="E47" s="217"/>
      <c r="J47" s="226"/>
      <c r="P47" s="475"/>
      <c r="Q47" s="475"/>
      <c r="R47" s="475"/>
      <c r="S47" s="475"/>
      <c r="T47" s="475"/>
      <c r="U47" s="475"/>
      <c r="V47" s="475"/>
      <c r="W47" s="475"/>
      <c r="X47" s="475"/>
      <c r="Y47" s="475"/>
      <c r="Z47" s="475"/>
      <c r="AA47" s="475"/>
      <c r="AB47" s="475"/>
      <c r="AC47" s="475"/>
      <c r="AD47" s="475"/>
      <c r="AE47" s="475"/>
      <c r="AF47" s="475"/>
      <c r="AG47" s="457" t="s">
        <v>278</v>
      </c>
      <c r="AH47" s="458"/>
      <c r="AI47" s="297"/>
      <c r="AJ47" s="297"/>
      <c r="AK47" s="298">
        <f>April!AM47</f>
        <v>0</v>
      </c>
      <c r="AL47" s="298">
        <f>COUNTIF($AF$9:$AF$39,$AG47)</f>
        <v>0</v>
      </c>
      <c r="AM47" s="455">
        <f t="shared" si="17"/>
        <v>0</v>
      </c>
      <c r="AN47" s="456"/>
    </row>
    <row r="48" spans="1:40" s="206" customFormat="1" ht="14.25" customHeight="1" x14ac:dyDescent="0.3">
      <c r="A48" s="436" t="s">
        <v>166</v>
      </c>
      <c r="B48" s="437"/>
      <c r="C48" s="437"/>
      <c r="D48" s="437"/>
      <c r="E48" s="437"/>
      <c r="F48" s="437"/>
      <c r="G48" s="437"/>
      <c r="H48" s="438"/>
      <c r="I48" s="448" t="s">
        <v>123</v>
      </c>
      <c r="J48" s="449"/>
      <c r="L48" s="303" t="s">
        <v>320</v>
      </c>
      <c r="M48" s="224"/>
      <c r="N48" s="224"/>
      <c r="O48" s="224"/>
      <c r="P48" s="302"/>
      <c r="Q48" s="208"/>
      <c r="R48" s="208"/>
      <c r="S48" s="208"/>
      <c r="T48" s="207"/>
      <c r="U48" s="214"/>
      <c r="V48" s="214"/>
      <c r="W48" s="214"/>
      <c r="X48" s="208"/>
      <c r="Y48" s="208"/>
      <c r="Z48" s="208"/>
      <c r="AA48" s="208"/>
      <c r="AB48" s="208"/>
      <c r="AC48" s="208"/>
      <c r="AD48" s="208"/>
      <c r="AE48" s="254"/>
      <c r="AF48" s="208"/>
      <c r="AG48" s="473" t="s">
        <v>39</v>
      </c>
      <c r="AH48" s="474"/>
      <c r="AI48" s="316"/>
      <c r="AJ48" s="316"/>
      <c r="AK48" s="317">
        <f>April!AM48</f>
        <v>0</v>
      </c>
      <c r="AL48" s="317">
        <f>COUNTIF($AF$9:$AF$39,$AG48)</f>
        <v>0</v>
      </c>
      <c r="AM48" s="471">
        <f t="shared" si="17"/>
        <v>0</v>
      </c>
      <c r="AN48" s="472"/>
    </row>
    <row r="49" spans="1:33" s="208" customFormat="1" ht="14" x14ac:dyDescent="0.3">
      <c r="A49" s="439" t="str">
        <f>"Urlaubsanspruch für "&amp;Grunddaten!G9&amp;" (inkl. Resturlaub Vorjahr)"</f>
        <v>Urlaubsanspruch für 2025 (inkl. Resturlaub Vorjahr)</v>
      </c>
      <c r="B49" s="440"/>
      <c r="C49" s="440"/>
      <c r="D49" s="440"/>
      <c r="E49" s="440"/>
      <c r="F49" s="440"/>
      <c r="G49" s="440"/>
      <c r="H49" s="440"/>
      <c r="I49" s="434">
        <f>Grunddaten!C48</f>
        <v>30</v>
      </c>
      <c r="J49" s="435"/>
    </row>
    <row r="50" spans="1:33" s="208" customFormat="1" ht="15.5" x14ac:dyDescent="0.35">
      <c r="A50" s="439" t="s">
        <v>169</v>
      </c>
      <c r="B50" s="440"/>
      <c r="C50" s="440"/>
      <c r="D50" s="440"/>
      <c r="E50" s="440"/>
      <c r="F50" s="440"/>
      <c r="G50" s="440"/>
      <c r="H50" s="440"/>
      <c r="I50" s="434">
        <f>I49-April!I53</f>
        <v>0</v>
      </c>
      <c r="J50" s="435"/>
      <c r="L50" s="231"/>
      <c r="M50" s="231"/>
      <c r="N50" s="231"/>
      <c r="O50" s="231"/>
      <c r="P50" s="231"/>
      <c r="Q50" s="231"/>
      <c r="R50" s="231"/>
      <c r="S50" s="231"/>
      <c r="T50" s="231"/>
      <c r="U50" s="231"/>
      <c r="V50" s="231"/>
      <c r="W50" s="231"/>
      <c r="X50" s="231"/>
      <c r="Y50" s="231"/>
      <c r="Z50" s="231"/>
      <c r="AA50" s="231"/>
      <c r="AB50" s="231"/>
      <c r="AC50" s="231"/>
      <c r="AD50" s="231"/>
      <c r="AE50" s="254"/>
      <c r="AG50" s="216"/>
    </row>
    <row r="51" spans="1:33" s="208" customFormat="1" ht="15.75" customHeight="1" x14ac:dyDescent="0.3">
      <c r="A51" s="439" t="s">
        <v>170</v>
      </c>
      <c r="B51" s="440"/>
      <c r="C51" s="440"/>
      <c r="D51" s="440"/>
      <c r="E51" s="440"/>
      <c r="F51" s="440"/>
      <c r="G51" s="440"/>
      <c r="H51" s="440"/>
      <c r="I51" s="434">
        <f>COUNTIF(AF9:AF39,"Urlaub")</f>
        <v>0</v>
      </c>
      <c r="J51" s="435"/>
      <c r="L51" s="470"/>
      <c r="M51" s="470"/>
      <c r="N51" s="470"/>
      <c r="O51" s="470"/>
      <c r="P51" s="470"/>
      <c r="Q51" s="470"/>
      <c r="R51" s="470"/>
      <c r="S51" s="470"/>
      <c r="T51" s="470"/>
      <c r="U51" s="470"/>
      <c r="V51" s="470"/>
      <c r="W51" s="470"/>
      <c r="X51" s="470"/>
      <c r="Y51" s="470"/>
      <c r="Z51" s="470"/>
      <c r="AA51" s="470"/>
      <c r="AB51" s="470"/>
      <c r="AC51" s="470"/>
      <c r="AD51" s="470"/>
      <c r="AE51" s="254"/>
      <c r="AG51" s="216"/>
    </row>
    <row r="52" spans="1:33" s="208" customFormat="1" ht="15.75" hidden="1" customHeight="1" thickBot="1" x14ac:dyDescent="0.4">
      <c r="A52" s="351" t="s">
        <v>165</v>
      </c>
      <c r="B52" s="227"/>
      <c r="C52" s="227"/>
      <c r="D52" s="227"/>
      <c r="E52" s="227"/>
      <c r="F52" s="227"/>
      <c r="G52" s="228"/>
      <c r="I52" s="352"/>
      <c r="J52" s="353">
        <v>0</v>
      </c>
      <c r="L52" s="231"/>
      <c r="M52" s="231"/>
      <c r="N52" s="301"/>
      <c r="O52" s="231"/>
      <c r="P52" s="231"/>
      <c r="R52" s="231"/>
      <c r="S52" s="231"/>
      <c r="T52" s="231"/>
      <c r="V52" s="214"/>
      <c r="W52" s="214"/>
      <c r="X52" s="214"/>
      <c r="AE52" s="254"/>
      <c r="AG52" s="216"/>
    </row>
    <row r="53" spans="1:33" s="208" customFormat="1" ht="15" customHeight="1" collapsed="1" x14ac:dyDescent="0.35">
      <c r="A53" s="445" t="s">
        <v>171</v>
      </c>
      <c r="B53" s="446"/>
      <c r="C53" s="446"/>
      <c r="D53" s="446"/>
      <c r="E53" s="446"/>
      <c r="F53" s="446"/>
      <c r="G53" s="446"/>
      <c r="H53" s="447"/>
      <c r="I53" s="451">
        <f>SUM(I49-I50-I51+J52)</f>
        <v>30</v>
      </c>
      <c r="J53" s="452"/>
      <c r="L53" s="231" t="s">
        <v>173</v>
      </c>
      <c r="M53" s="231"/>
      <c r="N53" s="231"/>
      <c r="R53" s="231" t="s">
        <v>322</v>
      </c>
      <c r="S53" s="231"/>
      <c r="T53" s="231"/>
      <c r="U53" s="231"/>
      <c r="V53" s="231"/>
      <c r="W53" s="231"/>
      <c r="AE53" s="254"/>
      <c r="AG53" s="216"/>
    </row>
    <row r="54" spans="1:33" s="208" customFormat="1" ht="15.75" customHeight="1" x14ac:dyDescent="0.35">
      <c r="A54" s="265"/>
      <c r="B54" s="265"/>
      <c r="C54" s="265"/>
      <c r="D54" s="265"/>
      <c r="E54" s="265"/>
      <c r="F54" s="265"/>
      <c r="G54" s="266"/>
      <c r="H54" s="229"/>
      <c r="L54" s="231"/>
      <c r="M54" s="231"/>
      <c r="N54" s="231"/>
      <c r="O54" s="231"/>
      <c r="P54" s="231"/>
      <c r="Q54" s="231"/>
      <c r="R54" s="231"/>
      <c r="S54" s="231"/>
      <c r="T54" s="231"/>
      <c r="U54" s="231"/>
      <c r="V54" s="231"/>
      <c r="W54" s="231"/>
      <c r="X54" s="231"/>
      <c r="Y54" s="231"/>
      <c r="Z54" s="231"/>
      <c r="AA54" s="231"/>
      <c r="AB54" s="231"/>
      <c r="AC54" s="231"/>
      <c r="AD54" s="231"/>
      <c r="AE54" s="231"/>
      <c r="AF54" s="231"/>
    </row>
    <row r="55" spans="1:33" s="208" customFormat="1" ht="30" customHeight="1" x14ac:dyDescent="0.35">
      <c r="A55" s="354" t="s">
        <v>150</v>
      </c>
      <c r="B55" s="429" t="s">
        <v>172</v>
      </c>
      <c r="C55" s="429"/>
      <c r="D55" s="429"/>
      <c r="E55" s="429"/>
      <c r="F55" s="355" t="s">
        <v>305</v>
      </c>
      <c r="G55" s="355" t="s">
        <v>306</v>
      </c>
      <c r="H55" s="355" t="s">
        <v>318</v>
      </c>
      <c r="I55" s="421" t="s">
        <v>307</v>
      </c>
      <c r="J55" s="422"/>
      <c r="L55" s="304" t="s">
        <v>321</v>
      </c>
      <c r="M55" s="231"/>
      <c r="N55" s="231"/>
      <c r="O55" s="231"/>
      <c r="P55" s="231"/>
      <c r="Q55" s="231"/>
      <c r="R55" s="231"/>
      <c r="S55" s="231"/>
      <c r="T55" s="231"/>
      <c r="U55" s="231"/>
      <c r="V55" s="231"/>
      <c r="W55" s="231"/>
      <c r="X55" s="231"/>
      <c r="Y55" s="231"/>
      <c r="Z55" s="231"/>
      <c r="AA55" s="231"/>
      <c r="AB55" s="231"/>
      <c r="AC55" s="231"/>
      <c r="AD55" s="231"/>
      <c r="AE55" s="231"/>
      <c r="AF55" s="231"/>
      <c r="AG55" s="216"/>
    </row>
    <row r="56" spans="1:33" s="208" customFormat="1" ht="15" customHeight="1" x14ac:dyDescent="0.35">
      <c r="A56" s="356">
        <v>1</v>
      </c>
      <c r="B56" s="415" t="str">
        <f>IF(Grunddaten!C16="","",Grunddaten!C16)</f>
        <v>AAA</v>
      </c>
      <c r="C56" s="415"/>
      <c r="D56" s="415"/>
      <c r="E56" s="416"/>
      <c r="F56" s="267">
        <f>SUMIF($D$9:$D$39,$A56,$H$9:$H$39)+SUMIF($I$9:$I$39,$A56,$M$9:$M$39)+SUMIF($N$9:$N$39,$A56,$R$9:$R$39)+SUMIF($S$9:$S$39,$A56,$V$9:$V$39)-SUMIF($W$9:$W$39,$A56,$Y$9:$Y$39)/24</f>
        <v>0</v>
      </c>
      <c r="G56" s="267">
        <f>AA40</f>
        <v>6.5000000000000018</v>
      </c>
      <c r="H56" s="268">
        <f>(F56-G56)*24</f>
        <v>-156.00000000000006</v>
      </c>
      <c r="I56" s="423">
        <f>April!I56+H56</f>
        <v>-795.60000000000014</v>
      </c>
      <c r="J56" s="424"/>
      <c r="L56" s="231"/>
      <c r="M56" s="231"/>
      <c r="N56" s="231"/>
      <c r="O56" s="231"/>
      <c r="P56" s="231"/>
      <c r="Q56" s="231"/>
      <c r="R56" s="231"/>
      <c r="S56" s="231"/>
      <c r="T56" s="231"/>
      <c r="U56" s="231"/>
      <c r="V56" s="231"/>
      <c r="W56" s="231"/>
      <c r="X56" s="231"/>
      <c r="Y56" s="231"/>
      <c r="Z56" s="231"/>
      <c r="AA56" s="231"/>
      <c r="AB56" s="231"/>
      <c r="AC56" s="231"/>
      <c r="AD56" s="231"/>
      <c r="AE56" s="231"/>
      <c r="AF56" s="231"/>
      <c r="AG56" s="216"/>
    </row>
    <row r="57" spans="1:33" s="208" customFormat="1" ht="15" customHeight="1" x14ac:dyDescent="0.35">
      <c r="A57" s="357">
        <v>2</v>
      </c>
      <c r="B57" s="417" t="str">
        <f>IF(Grunddaten!C17="","",Grunddaten!C17)</f>
        <v>BBB</v>
      </c>
      <c r="C57" s="417"/>
      <c r="D57" s="417"/>
      <c r="E57" s="418"/>
      <c r="F57" s="230">
        <f t="shared" ref="F57:F58" si="18">SUMIF($D$9:$D$39,$A57,$H$9:$H$39)+SUMIF($I$9:$I$39,$A57,$M$9:$M$39)+SUMIF($N$9:$N$39,$A57,$R$9:$R$39)+SUMIF($S$9:$S$39,$A57,$V$9:$V$39)-SUMIF($W$9:$W$39,$A57,$Y$9:$Y$39)/24</f>
        <v>0</v>
      </c>
      <c r="G57" s="230">
        <f>AB40</f>
        <v>0</v>
      </c>
      <c r="H57" s="219">
        <f t="shared" ref="H57:H58" si="19">(F57-G57)*24</f>
        <v>0</v>
      </c>
      <c r="I57" s="425">
        <f>April!I57+H57</f>
        <v>0</v>
      </c>
      <c r="J57" s="426"/>
      <c r="L57" s="469"/>
      <c r="M57" s="469"/>
      <c r="N57" s="469"/>
      <c r="O57" s="469"/>
      <c r="P57" s="469"/>
      <c r="Q57" s="469"/>
      <c r="R57" s="469"/>
      <c r="S57" s="469"/>
      <c r="T57" s="469"/>
      <c r="U57" s="469"/>
      <c r="V57" s="469"/>
      <c r="W57" s="469"/>
      <c r="X57" s="469"/>
      <c r="Y57" s="469"/>
      <c r="Z57" s="469"/>
      <c r="AA57" s="469"/>
      <c r="AB57" s="469"/>
      <c r="AC57" s="469"/>
      <c r="AD57" s="469"/>
      <c r="AE57" s="254"/>
      <c r="AG57" s="216"/>
    </row>
    <row r="58" spans="1:33" s="208" customFormat="1" ht="15" customHeight="1" x14ac:dyDescent="0.35">
      <c r="A58" s="358">
        <v>3</v>
      </c>
      <c r="B58" s="419" t="str">
        <f>IF(Grunddaten!C18="","",Grunddaten!C18)</f>
        <v>CCC</v>
      </c>
      <c r="C58" s="419"/>
      <c r="D58" s="419"/>
      <c r="E58" s="420"/>
      <c r="F58" s="359">
        <f t="shared" si="18"/>
        <v>0</v>
      </c>
      <c r="G58" s="359">
        <f>AC40</f>
        <v>0</v>
      </c>
      <c r="H58" s="360">
        <f t="shared" si="19"/>
        <v>0</v>
      </c>
      <c r="I58" s="427">
        <f>April!I58+H58</f>
        <v>0</v>
      </c>
      <c r="J58" s="428"/>
      <c r="L58" s="231" t="s">
        <v>173</v>
      </c>
      <c r="M58" s="231"/>
      <c r="N58" s="231"/>
      <c r="R58" s="231" t="s">
        <v>323</v>
      </c>
      <c r="S58" s="231"/>
      <c r="T58" s="231"/>
      <c r="U58" s="231"/>
      <c r="V58" s="231"/>
      <c r="W58" s="231"/>
      <c r="X58" s="231"/>
      <c r="Y58" s="231"/>
      <c r="AE58" s="254"/>
      <c r="AG58" s="216"/>
    </row>
    <row r="59" spans="1:33" s="208" customFormat="1" ht="14" x14ac:dyDescent="0.3">
      <c r="V59" s="214"/>
      <c r="AE59" s="254"/>
      <c r="AG59" s="216"/>
    </row>
    <row r="60" spans="1:33" s="208" customFormat="1" ht="14" x14ac:dyDescent="0.3">
      <c r="V60" s="214"/>
      <c r="W60" s="214"/>
      <c r="X60" s="214"/>
      <c r="Y60" s="214"/>
      <c r="AE60" s="254"/>
      <c r="AG60" s="216"/>
    </row>
    <row r="61" spans="1:33" s="208" customFormat="1" ht="14" x14ac:dyDescent="0.3">
      <c r="V61" s="214"/>
      <c r="W61" s="214"/>
      <c r="X61" s="214"/>
      <c r="Y61" s="214"/>
      <c r="AE61" s="254"/>
      <c r="AG61" s="216"/>
    </row>
    <row r="62" spans="1:33" s="231" customFormat="1" ht="15.5" x14ac:dyDescent="0.35">
      <c r="V62" s="232"/>
      <c r="W62" s="232"/>
      <c r="X62" s="232"/>
      <c r="Y62" s="232"/>
      <c r="AE62" s="255"/>
      <c r="AG62" s="234"/>
    </row>
    <row r="63" spans="1:33" s="231" customFormat="1" ht="15" customHeight="1" x14ac:dyDescent="0.35">
      <c r="V63" s="232"/>
      <c r="W63" s="232"/>
      <c r="X63" s="232"/>
      <c r="Y63" s="232"/>
      <c r="AE63" s="255"/>
      <c r="AG63" s="234"/>
    </row>
    <row r="64" spans="1:33" s="231" customFormat="1" ht="15.5" x14ac:dyDescent="0.35">
      <c r="I64" s="235"/>
      <c r="V64" s="232"/>
      <c r="W64" s="232"/>
      <c r="X64" s="232"/>
      <c r="Y64" s="232"/>
      <c r="AE64" s="255"/>
      <c r="AG64" s="234"/>
    </row>
    <row r="65" spans="1:33" s="231" customFormat="1" ht="15" customHeight="1" x14ac:dyDescent="0.35">
      <c r="V65" s="232"/>
      <c r="W65" s="232"/>
      <c r="X65" s="232"/>
      <c r="Y65" s="232"/>
      <c r="AE65" s="255"/>
      <c r="AG65" s="234"/>
    </row>
    <row r="66" spans="1:33" s="231" customFormat="1" ht="15.5" x14ac:dyDescent="0.35">
      <c r="A66" s="188"/>
      <c r="B66" s="188"/>
      <c r="C66" s="188"/>
      <c r="D66" s="188"/>
      <c r="E66" s="185"/>
      <c r="F66" s="185"/>
      <c r="G66" s="185"/>
      <c r="V66" s="232"/>
      <c r="W66" s="232"/>
      <c r="X66" s="232"/>
      <c r="Y66" s="232"/>
      <c r="AE66" s="255"/>
      <c r="AG66" s="234"/>
    </row>
    <row r="67" spans="1:33" s="231" customFormat="1" ht="15" customHeight="1" x14ac:dyDescent="0.35">
      <c r="A67" s="188"/>
      <c r="B67" s="188"/>
      <c r="C67" s="188"/>
      <c r="D67" s="188"/>
      <c r="E67" s="185"/>
      <c r="F67" s="185"/>
      <c r="G67" s="185"/>
      <c r="U67" s="236"/>
      <c r="V67" s="232"/>
      <c r="W67" s="232"/>
      <c r="X67" s="232"/>
      <c r="Y67" s="232"/>
      <c r="AE67" s="255"/>
      <c r="AG67" s="234"/>
    </row>
    <row r="68" spans="1:33" s="231" customFormat="1" ht="15" customHeight="1" x14ac:dyDescent="0.35">
      <c r="A68" s="188"/>
      <c r="B68" s="188"/>
      <c r="C68" s="188"/>
      <c r="D68" s="188"/>
      <c r="E68" s="185"/>
      <c r="F68" s="185"/>
      <c r="G68" s="185"/>
      <c r="V68" s="232"/>
      <c r="W68" s="232"/>
      <c r="X68" s="232"/>
      <c r="Y68" s="232"/>
      <c r="AE68" s="255"/>
      <c r="AG68" s="234"/>
    </row>
  </sheetData>
  <sheetProtection sheet="1" selectLockedCells="1"/>
  <mergeCells count="51">
    <mergeCell ref="L57:AD57"/>
    <mergeCell ref="L51:AD51"/>
    <mergeCell ref="AM47:AN47"/>
    <mergeCell ref="AM48:AN48"/>
    <mergeCell ref="AM42:AN42"/>
    <mergeCell ref="AM43:AN43"/>
    <mergeCell ref="AM44:AN44"/>
    <mergeCell ref="AM45:AN45"/>
    <mergeCell ref="AM46:AN46"/>
    <mergeCell ref="AG47:AH47"/>
    <mergeCell ref="AG48:AH48"/>
    <mergeCell ref="AG43:AH43"/>
    <mergeCell ref="AG44:AH44"/>
    <mergeCell ref="L46:O46"/>
    <mergeCell ref="P46:AF47"/>
    <mergeCell ref="A1:AN1"/>
    <mergeCell ref="D7:H7"/>
    <mergeCell ref="I7:M7"/>
    <mergeCell ref="N7:R7"/>
    <mergeCell ref="W7:X7"/>
    <mergeCell ref="AA7:AD7"/>
    <mergeCell ref="AK7:AN7"/>
    <mergeCell ref="B7:C7"/>
    <mergeCell ref="AH4:AJ4"/>
    <mergeCell ref="S7:V7"/>
    <mergeCell ref="A49:H49"/>
    <mergeCell ref="A50:H50"/>
    <mergeCell ref="A51:H51"/>
    <mergeCell ref="A53:H53"/>
    <mergeCell ref="I49:J49"/>
    <mergeCell ref="I50:J50"/>
    <mergeCell ref="I51:J51"/>
    <mergeCell ref="I53:J53"/>
    <mergeCell ref="A42:G42"/>
    <mergeCell ref="A43:G43"/>
    <mergeCell ref="A44:G44"/>
    <mergeCell ref="A46:G46"/>
    <mergeCell ref="A48:H48"/>
    <mergeCell ref="I48:J48"/>
    <mergeCell ref="I42:J42"/>
    <mergeCell ref="I43:J43"/>
    <mergeCell ref="I44:J44"/>
    <mergeCell ref="I46:J46"/>
    <mergeCell ref="B56:E56"/>
    <mergeCell ref="B57:E57"/>
    <mergeCell ref="B58:E58"/>
    <mergeCell ref="I55:J55"/>
    <mergeCell ref="I56:J56"/>
    <mergeCell ref="I57:J57"/>
    <mergeCell ref="I58:J58"/>
    <mergeCell ref="B55:E55"/>
  </mergeCells>
  <conditionalFormatting sqref="A9:AN39">
    <cfRule type="expression" priority="1">
      <formula>AND(WEEKDAY($C9)&gt;1,WEEKDAY($C9)&lt;7)</formula>
    </cfRule>
  </conditionalFormatting>
  <conditionalFormatting sqref="H9:H39">
    <cfRule type="expression" dxfId="89" priority="5">
      <formula>AND($H9&gt;(6/24),$AF9&lt;&gt;"Urlaub",$AF9&lt;&gt;"Krank",$AF9&lt;&gt;"Arbeitsbefreiung",$AF9&lt;&gt;"Exerzitien",$AF9&lt;&gt;"Wallfahrt",$AF9&lt;&gt;"Betriebsausflug",$AF9&lt;&gt;"Azubi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M9:M39">
    <cfRule type="expression" dxfId="88" priority="6">
      <formula>AND($M9&gt;(6/24),$AF9&lt;&gt;"Urlaub",$AF9&lt;&gt;"Krank",$AF9&lt;&gt;"Arbeitsbefreiung",$AF9&lt;&gt;"Exerzitien",$AF9&lt;&gt;"Wallfahrt",$AF9&lt;&gt;"Betriebsausflug",$AF9&lt;&gt;"Azubi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R9:R39">
    <cfRule type="expression" dxfId="86" priority="7">
      <formula>AND($R9&gt;(6/24),$AF9&lt;&gt;"Urlaub",$AF9&lt;&gt;"Krank",$AF9&lt;&gt;"Arbeitsbefreiung",$AF9&lt;&gt;"Exerzitien",$AF9&lt;&gt;"Wallfahrt",$AF9&lt;&gt;"Betriebsausflug",$AF9&lt;&gt;"Azubi - Berufsschule",$AF9&lt;&gt;"Azubi - Schriftliche AP",$AF9&lt;&gt;"Azubi - Mündliche AP",$AF9&lt;&gt;"Azubi - Zwischenprüfung",$AF9&lt;&gt;"Azubi - Prüfungsvorbereitung")</formula>
    </cfRule>
  </conditionalFormatting>
  <conditionalFormatting sqref="AN9:AN39">
    <cfRule type="expression" dxfId="81" priority="16">
      <formula>$AN9="T"</formula>
    </cfRule>
  </conditionalFormatting>
  <dataValidations count="3">
    <dataValidation type="time" allowBlank="1" showInputMessage="1" showErrorMessage="1" errorTitle="Falsches Eingabeformat" error="Ihnen ist ein Missgeschick bei der Erfassung der Unterbrechungsdauer unterlaufen. Erfassen Sie die Unterbrechungsdauer einfach nochmals im Format hh:mm. Vielen Dank." promptTitle="Eingabe Unterbrechungsdauer" prompt="Eingabeformat hh:mm" sqref="G9:G39 Q9:Q39 L9:L39" xr:uid="{00000000-0002-0000-0800-000000000000}">
      <formula1>0</formula1>
      <formula2>0.333333333333333</formula2>
    </dataValidation>
    <dataValidation type="list" allowBlank="1" showInputMessage="1" sqref="D9:D39 N9:N39 I9:I39" xr:uid="{00000000-0002-0000-0800-000001000000}">
      <formula1>"1,2,3"</formula1>
    </dataValidation>
    <dataValidation type="list" allowBlank="1" showInputMessage="1" showErrorMessage="1" sqref="W9:W39" xr:uid="{00000000-0002-0000-0800-000002000000}">
      <formula1>$B$16:$B$21</formula1>
    </dataValidation>
  </dataValidations>
  <printOptions horizontalCentered="1"/>
  <pageMargins left="0.31496062992125984" right="0.31496062992125984" top="0.59055118110236227" bottom="0.19685039370078741" header="0.31496062992125984" footer="0.31496062992125984"/>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2" id="{7DE045AA-4647-45BF-95F0-6A7760AD7EE4}">
            <xm:f>OR(COUNTIF(Grunddaten!$F$35:$F$58,$C9)&gt;0,WEEKDAY($C9)=1,WEEKDAY($C9)=7)</xm:f>
            <x14:dxf>
              <fill>
                <patternFill>
                  <bgColor theme="4" tint="0.79998168889431442"/>
                </patternFill>
              </fill>
              <border>
                <top style="thin">
                  <color theme="0"/>
                </top>
                <bottom style="thin">
                  <color theme="0"/>
                </bottom>
              </border>
            </x14:dxf>
          </x14:cfRule>
          <xm:sqref>D9:N9</xm:sqref>
        </x14:conditionalFormatting>
        <x14:conditionalFormatting xmlns:xm="http://schemas.microsoft.com/office/excel/2006/main">
          <x14:cfRule type="expression" priority="11" id="{999CAF30-09A4-4700-A8A4-CE3F20D85D8F}">
            <xm:f>OR(COUNTIF(Grunddaten!$F$35:$F$58,$C10)&gt;0,WEEKDAY($C10)=1,WEEKDAY($C10)=7)</xm:f>
            <x14:dxf>
              <fill>
                <patternFill>
                  <bgColor theme="4" tint="0.79998168889431442"/>
                </patternFill>
              </fill>
              <border>
                <top style="thin">
                  <color theme="0"/>
                </top>
                <bottom style="thin">
                  <color theme="0"/>
                </bottom>
              </border>
            </x14:dxf>
          </x14:cfRule>
          <xm:sqref>D10:N39</xm:sqref>
        </x14:conditionalFormatting>
        <x14:conditionalFormatting xmlns:xm="http://schemas.microsoft.com/office/excel/2006/main">
          <x14:cfRule type="expression" priority="13" id="{3E22C4D6-B829-42A8-B541-18B2620972B2}">
            <xm:f>OR(COUNTIF(Grunddaten!$F$35:$F$58,$C9)&gt;0,WEEKDAY($C9)=1,WEEKDAY($C9)=7)</xm:f>
            <x14:dxf>
              <fill>
                <patternFill>
                  <bgColor theme="4" tint="0.79998168889431442"/>
                </patternFill>
              </fill>
              <border>
                <top style="thin">
                  <color theme="0"/>
                </top>
                <bottom style="thin">
                  <color theme="0"/>
                </bottom>
              </border>
            </x14:dxf>
          </x14:cfRule>
          <xm:sqref>O9:AN9 AK10:AK39</xm:sqref>
        </x14:conditionalFormatting>
        <x14:conditionalFormatting xmlns:xm="http://schemas.microsoft.com/office/excel/2006/main">
          <x14:cfRule type="expression" priority="14" id="{4B9CF90B-C1C0-4292-B47C-C7088B7C42CE}">
            <xm:f>OR(AND(DAYS360(Grunddaten!$C$25,$C9)/360&gt;=18,$Z9&gt;(10/24)),AND(DAYS360(Grunddaten!$C$25,$C9)/360&lt;18,$Z9&gt;(8.5/24)))</xm:f>
            <x14:dxf>
              <font>
                <color theme="0"/>
              </font>
              <fill>
                <patternFill>
                  <bgColor rgb="FFC00000"/>
                </patternFill>
              </fill>
            </x14:dxf>
          </x14:cfRule>
          <xm:sqref>Z9:Z39</xm:sqref>
        </x14:conditionalFormatting>
        <x14:conditionalFormatting xmlns:xm="http://schemas.microsoft.com/office/excel/2006/main">
          <x14:cfRule type="expression" priority="9" id="{B73E1471-F6CC-42E6-A95A-27B49FEFAE0D}">
            <xm:f>OR(COUNTIF(Grunddaten!$F$35:$F$58,$C10)&gt;0,WEEKDAY($C10)=1,WEEKDAY($C10)=7)</xm:f>
            <x14:dxf>
              <fill>
                <patternFill>
                  <bgColor theme="4" tint="0.79998168889431442"/>
                </patternFill>
              </fill>
              <border>
                <top style="thin">
                  <color theme="0"/>
                </top>
                <bottom style="thin">
                  <color theme="0"/>
                </bottom>
              </border>
            </x14:dxf>
          </x14:cfRule>
          <xm:sqref>AE10:AE39</xm:sqref>
        </x14:conditionalFormatting>
        <x14:conditionalFormatting xmlns:xm="http://schemas.microsoft.com/office/excel/2006/main">
          <x14:cfRule type="expression" priority="135" id="{99F2C31F-59FE-4DBA-A8A3-25DF315EC00A}">
            <xm:f>OR(COUNTIF(Grunddaten!$F$35:$F$58,$C9)&gt;0,WEEKDAY($C9)=1,WEEKDAY($C9)=7)</xm:f>
            <x14:dxf>
              <fill>
                <patternFill>
                  <bgColor theme="4" tint="0.79998168889431442"/>
                </patternFill>
              </fill>
              <border>
                <top style="thin">
                  <color theme="0"/>
                </top>
                <bottom style="thin">
                  <color theme="0"/>
                </bottom>
              </border>
            </x14:dxf>
          </x14:cfRule>
          <xm:sqref>AF10:AN39 O10:AD39 A9:C39</xm:sqref>
        </x14:conditionalFormatting>
        <x14:conditionalFormatting xmlns:xm="http://schemas.microsoft.com/office/excel/2006/main">
          <x14:cfRule type="expression" priority="15" id="{D678E4CF-D895-4D5A-91A8-FEBBCFC1DA2B}">
            <xm:f>OR(AND(DAYS360(Grunddaten!$C$25,$C9)/360&gt;=18,(($H9+$M9+$R9+$T9)&gt;(10/24))),AND(DAYS360(Grunddaten!$C$25,$C9)/360&lt;18,(($H9+$M9+$R9+$T9)&gt;(8.5/24))))</xm:f>
            <x14:dxf>
              <font>
                <color theme="0"/>
              </font>
              <fill>
                <patternFill>
                  <bgColor rgb="FFC00000"/>
                </patternFill>
              </fill>
            </x14:dxf>
          </x14:cfRule>
          <xm:sqref>AK9:AK39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Grunddaten!$B$16:$B$21</xm:f>
          </x14:formula1>
          <xm:sqref>S9:S39</xm:sqref>
        </x14:dataValidation>
        <x14:dataValidation type="list" allowBlank="1" showInputMessage="1" xr:uid="{00000000-0002-0000-0800-000004000000}">
          <x14:formula1>
            <xm:f>Grunddaten!$F$14:$F$32</xm:f>
          </x14:formula1>
          <xm:sqref>AF9:AF39</xm:sqref>
        </x14:dataValidation>
        <x14:dataValidation type="list" allowBlank="1" showInputMessage="1" xr:uid="{00000000-0002-0000-0800-000005000000}">
          <x14:formula1>
            <xm:f>Grunddaten!$F$62:$F$92</xm:f>
          </x14:formula1>
          <xm:sqref>AG9:AG39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Kategorie xmlns="bb289361-6d62-4e55-af0d-80321e8d779d" xsi:nil="true"/>
    <SharedWithUsers xmlns="e94d30c0-3e14-4762-9665-b3049fd943f7">
      <UserInfo>
        <DisplayName>Dölzer, Gabi</DisplayName>
        <AccountId>1580</AccountId>
        <AccountType/>
      </UserInfo>
      <UserInfo>
        <DisplayName>Ambros, Albina</DisplayName>
        <AccountId>2044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8BBB5FE3606E44B97B2F4826B304B2A" ma:contentTypeVersion="2" ma:contentTypeDescription="Ein neues Dokument erstellen." ma:contentTypeScope="" ma:versionID="45261d84733083ac946e74fcfaec7488">
  <xsd:schema xmlns:xsd="http://www.w3.org/2001/XMLSchema" xmlns:xs="http://www.w3.org/2001/XMLSchema" xmlns:p="http://schemas.microsoft.com/office/2006/metadata/properties" xmlns:ns2="bb289361-6d62-4e55-af0d-80321e8d779d" xmlns:ns3="e94d30c0-3e14-4762-9665-b3049fd943f7" targetNamespace="http://schemas.microsoft.com/office/2006/metadata/properties" ma:root="true" ma:fieldsID="12b17e647eaa9d6e76582afaccdc6a12" ns2:_="" ns3:_="">
    <xsd:import namespace="bb289361-6d62-4e55-af0d-80321e8d779d"/>
    <xsd:import namespace="e94d30c0-3e14-4762-9665-b3049fd943f7"/>
    <xsd:element name="properties">
      <xsd:complexType>
        <xsd:sequence>
          <xsd:element name="documentManagement">
            <xsd:complexType>
              <xsd:all>
                <xsd:element ref="ns2:Kategori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289361-6d62-4e55-af0d-80321e8d779d" elementFormDefault="qualified">
    <xsd:import namespace="http://schemas.microsoft.com/office/2006/documentManagement/types"/>
    <xsd:import namespace="http://schemas.microsoft.com/office/infopath/2007/PartnerControls"/>
    <xsd:element name="Kategorie" ma:index="8" nillable="true" ma:displayName="Kategorie" ma:list="{52b2cd8d-b1df-4d43-a354-846a382804fc}" ma:internalName="Kategori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e94d30c0-3e14-4762-9665-b3049fd943f7" elementFormDefault="qualified">
    <xsd:import namespace="http://schemas.microsoft.com/office/2006/documentManagement/types"/>
    <xsd:import namespace="http://schemas.microsoft.com/office/infopath/2007/PartnerControls"/>
    <xsd:element name="SharedWithUsers" ma:index="9"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E4B3BC-6B66-45C7-9897-EC6715645CA7}">
  <ds:schemaRefs>
    <ds:schemaRef ds:uri="http://schemas.microsoft.com/sharepoint/v3/contenttype/forms"/>
  </ds:schemaRefs>
</ds:datastoreItem>
</file>

<file path=customXml/itemProps2.xml><?xml version="1.0" encoding="utf-8"?>
<ds:datastoreItem xmlns:ds="http://schemas.openxmlformats.org/officeDocument/2006/customXml" ds:itemID="{29B360F3-292F-4A43-826F-2BE41FD32A70}">
  <ds:schemaRefs>
    <ds:schemaRef ds:uri="e94d30c0-3e14-4762-9665-b3049fd943f7"/>
    <ds:schemaRef ds:uri="http://www.w3.org/XML/1998/namespace"/>
    <ds:schemaRef ds:uri="bb289361-6d62-4e55-af0d-80321e8d779d"/>
    <ds:schemaRef ds:uri="http://schemas.openxmlformats.org/package/2006/metadata/core-properties"/>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FCFE778A-3FF2-4257-9698-70B31CBC1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289361-6d62-4e55-af0d-80321e8d779d"/>
    <ds:schemaRef ds:uri="e94d30c0-3e14-4762-9665-b3049fd943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vt:i4>
      </vt:variant>
    </vt:vector>
  </HeadingPairs>
  <TitlesOfParts>
    <vt:vector size="19" baseType="lpstr">
      <vt:lpstr>Bedienung</vt:lpstr>
      <vt:lpstr>FAQ</vt:lpstr>
      <vt:lpstr>Grunddaten</vt:lpstr>
      <vt:lpstr>AZ-Modell</vt:lpstr>
      <vt:lpstr>Januar</vt:lpstr>
      <vt:lpstr>Februar</vt:lpstr>
      <vt:lpstr>März</vt:lpstr>
      <vt:lpstr>April</vt:lpstr>
      <vt:lpstr>Mai</vt:lpstr>
      <vt:lpstr>Juni</vt:lpstr>
      <vt:lpstr>Juli</vt:lpstr>
      <vt:lpstr>August</vt:lpstr>
      <vt:lpstr>September</vt:lpstr>
      <vt:lpstr>Oktober</vt:lpstr>
      <vt:lpstr>November</vt:lpstr>
      <vt:lpstr>Dezember</vt:lpstr>
      <vt:lpstr>EFLB-Statistik</vt:lpstr>
      <vt:lpstr>Umrechnung</vt:lpstr>
      <vt:lpstr>Bedienung!Druckbereich</vt:lpstr>
    </vt:vector>
  </TitlesOfParts>
  <Manager/>
  <Company>Bischöfliches Ordinariat Passau Personalreferat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Herunterladen (rechte Maustaste)</dc:title>
  <dc:subject/>
  <dc:creator>Weishaeupl;Jürgen Gwinner;C. Wilhelm</dc:creator>
  <cp:keywords/>
  <dc:description/>
  <cp:lastModifiedBy>Gabriele Ludwig</cp:lastModifiedBy>
  <cp:revision/>
  <cp:lastPrinted>2024-09-17T11:33:32Z</cp:lastPrinted>
  <dcterms:created xsi:type="dcterms:W3CDTF">2010-11-25T06:25:18Z</dcterms:created>
  <dcterms:modified xsi:type="dcterms:W3CDTF">2025-04-08T15:05:26Z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0x010100F8BBB5FE3606E44B97B2F4826B304B2A</vt:lpwstr>
  </property>
</Properties>
</file>